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33154.00_Bayside-R3+R4-RFP\09-Admin\05-Program\GFA\"/>
    </mc:Choice>
  </mc:AlternateContent>
  <bookViews>
    <workbookView xWindow="0" yWindow="0" windowWidth="19200" windowHeight="12180" tabRatio="572"/>
  </bookViews>
  <sheets>
    <sheet name="TFA" sheetId="1" r:id="rId1"/>
    <sheet name="GFA" sheetId="9" r:id="rId2"/>
    <sheet name="AFFORDABLE" sheetId="4" r:id="rId3"/>
    <sheet name="CONDO" sheetId="6" r:id="rId4"/>
    <sheet name="TRASH REQUIREMENT" sheetId="8" r:id="rId5"/>
    <sheet name="ZONING ALLOWABLE" sheetId="7" r:id="rId6"/>
  </sheets>
  <definedNames>
    <definedName name="_xlnm.Print_Area" localSheetId="2">AFFORDABLE!$A$1:$I$20</definedName>
    <definedName name="_xlnm.Print_Area" localSheetId="3">CONDO!$A$1:$I$20</definedName>
    <definedName name="_xlnm.Print_Area" localSheetId="1">GFA!$A$1:$M$30</definedName>
    <definedName name="_xlnm.Print_Area" localSheetId="0">TFA!$A$1:$T$30</definedName>
    <definedName name="_xlnm.Print_Area" localSheetId="5">'ZONING ALLOWABLE'!$A$1:$M$34</definedName>
  </definedNames>
  <calcPr calcId="152511"/>
</workbook>
</file>

<file path=xl/calcChain.xml><?xml version="1.0" encoding="utf-8"?>
<calcChain xmlns="http://schemas.openxmlformats.org/spreadsheetml/2006/main">
  <c r="E7" i="1" l="1"/>
  <c r="E10" i="1"/>
  <c r="E11" i="1"/>
  <c r="E8" i="1"/>
  <c r="E13" i="1"/>
  <c r="E19" i="1"/>
  <c r="C19" i="1"/>
  <c r="E14" i="1"/>
  <c r="E6" i="1"/>
  <c r="G6" i="1"/>
  <c r="G10" i="1"/>
  <c r="G11" i="1"/>
  <c r="G13" i="1"/>
  <c r="G16" i="1"/>
  <c r="E17" i="1"/>
  <c r="N19" i="1"/>
  <c r="M7" i="9"/>
  <c r="G7" i="1" l="1"/>
  <c r="G8" i="1"/>
  <c r="F10" i="1"/>
  <c r="G9" i="1"/>
  <c r="I10" i="9"/>
  <c r="H10" i="9"/>
  <c r="J10" i="9" s="1"/>
  <c r="F10" i="9"/>
  <c r="G12" i="1"/>
  <c r="E12" i="1"/>
  <c r="G14" i="1"/>
  <c r="J14" i="9"/>
  <c r="I14" i="9"/>
  <c r="H14" i="9"/>
  <c r="F14" i="9"/>
  <c r="G15" i="1"/>
  <c r="E15" i="1"/>
  <c r="E16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G17" i="1"/>
  <c r="E9" i="1" l="1"/>
  <c r="G18" i="1"/>
  <c r="E18" i="1"/>
  <c r="G19" i="1"/>
  <c r="G26" i="9"/>
  <c r="H26" i="9" s="1"/>
  <c r="E26" i="9"/>
  <c r="F26" i="9" s="1"/>
  <c r="C26" i="9"/>
  <c r="D26" i="9" s="1"/>
  <c r="J23" i="9"/>
  <c r="I23" i="9"/>
  <c r="L22" i="9"/>
  <c r="J22" i="9"/>
  <c r="I22" i="9"/>
  <c r="J21" i="9"/>
  <c r="I21" i="9"/>
  <c r="J20" i="9"/>
  <c r="I20" i="9"/>
  <c r="M19" i="9"/>
  <c r="I19" i="9"/>
  <c r="H19" i="9"/>
  <c r="F19" i="9"/>
  <c r="D19" i="9"/>
  <c r="J19" i="9" s="1"/>
  <c r="M18" i="9"/>
  <c r="I18" i="9"/>
  <c r="H18" i="9"/>
  <c r="J18" i="9" s="1"/>
  <c r="F18" i="9"/>
  <c r="D18" i="9"/>
  <c r="B18" i="9"/>
  <c r="M17" i="9"/>
  <c r="I17" i="9"/>
  <c r="H17" i="9"/>
  <c r="F17" i="9"/>
  <c r="D17" i="9"/>
  <c r="M16" i="9"/>
  <c r="I16" i="9"/>
  <c r="H16" i="9"/>
  <c r="F16" i="9"/>
  <c r="D16" i="9"/>
  <c r="M15" i="9"/>
  <c r="I15" i="9"/>
  <c r="H15" i="9"/>
  <c r="F15" i="9"/>
  <c r="D15" i="9"/>
  <c r="M14" i="9"/>
  <c r="D14" i="9"/>
  <c r="M13" i="9"/>
  <c r="I13" i="9"/>
  <c r="H13" i="9"/>
  <c r="F13" i="9"/>
  <c r="D13" i="9"/>
  <c r="J13" i="9" s="1"/>
  <c r="M12" i="9"/>
  <c r="I12" i="9"/>
  <c r="H12" i="9"/>
  <c r="F12" i="9"/>
  <c r="D12" i="9"/>
  <c r="M11" i="9"/>
  <c r="I11" i="9"/>
  <c r="H11" i="9"/>
  <c r="F11" i="9"/>
  <c r="D11" i="9"/>
  <c r="M10" i="9"/>
  <c r="D10" i="9"/>
  <c r="M9" i="9"/>
  <c r="I9" i="9"/>
  <c r="H9" i="9"/>
  <c r="F9" i="9"/>
  <c r="J9" i="9" s="1"/>
  <c r="D9" i="9"/>
  <c r="M8" i="9"/>
  <c r="I8" i="9"/>
  <c r="H8" i="9"/>
  <c r="F8" i="9"/>
  <c r="D8" i="9"/>
  <c r="I7" i="9"/>
  <c r="H7" i="9"/>
  <c r="F7" i="9"/>
  <c r="J7" i="9" s="1"/>
  <c r="M6" i="9"/>
  <c r="I6" i="9"/>
  <c r="H6" i="9"/>
  <c r="J6" i="9" s="1"/>
  <c r="F6" i="9"/>
  <c r="D6" i="9"/>
  <c r="J8" i="9" l="1"/>
  <c r="J12" i="9"/>
  <c r="J16" i="9"/>
  <c r="J11" i="9"/>
  <c r="J15" i="9"/>
  <c r="J17" i="9"/>
  <c r="M22" i="9"/>
  <c r="I30" i="9"/>
  <c r="I26" i="9"/>
  <c r="J26" i="9" s="1"/>
  <c r="J30" i="9" l="1"/>
  <c r="D7" i="1"/>
  <c r="D8" i="1"/>
  <c r="D9" i="1"/>
  <c r="D10" i="1"/>
  <c r="D11" i="1"/>
  <c r="D12" i="1"/>
  <c r="D13" i="1"/>
  <c r="D14" i="1"/>
  <c r="D15" i="1"/>
  <c r="D16" i="1"/>
  <c r="D1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D18" i="1" l="1"/>
  <c r="H7" i="1"/>
  <c r="F7" i="1"/>
  <c r="J7" i="1" l="1"/>
  <c r="N7" i="8"/>
  <c r="J7" i="8"/>
  <c r="N4" i="8"/>
  <c r="J4" i="8"/>
  <c r="F4" i="8"/>
  <c r="B18" i="1" l="1"/>
  <c r="G26" i="1" l="1"/>
  <c r="H26" i="1" s="1"/>
  <c r="C26" i="1" l="1"/>
  <c r="D26" i="1" s="1"/>
  <c r="H6" i="1" l="1"/>
  <c r="H19" i="1" l="1"/>
  <c r="F18" i="1" l="1"/>
  <c r="H18" i="1"/>
  <c r="H9" i="1"/>
  <c r="J9" i="1" s="1"/>
  <c r="H8" i="1"/>
  <c r="H17" i="1"/>
  <c r="H16" i="1"/>
  <c r="H15" i="1"/>
  <c r="J15" i="1" s="1"/>
  <c r="H14" i="1"/>
  <c r="H13" i="1"/>
  <c r="H12" i="1"/>
  <c r="H11" i="1"/>
  <c r="H10" i="1"/>
  <c r="F17" i="1"/>
  <c r="F16" i="1"/>
  <c r="F15" i="1"/>
  <c r="F14" i="1"/>
  <c r="F13" i="1"/>
  <c r="F12" i="1"/>
  <c r="F11" i="1"/>
  <c r="J11" i="1" s="1"/>
  <c r="J10" i="1"/>
  <c r="F9" i="1"/>
  <c r="F8" i="1"/>
  <c r="J16" i="1"/>
  <c r="J13" i="1"/>
  <c r="D6" i="1"/>
  <c r="J17" i="1"/>
  <c r="D19" i="1"/>
  <c r="J8" i="1" l="1"/>
  <c r="J12" i="1"/>
  <c r="J14" i="1"/>
  <c r="J18" i="1"/>
  <c r="C26" i="7"/>
  <c r="D26" i="7"/>
  <c r="E26" i="7"/>
  <c r="F26" i="7"/>
  <c r="G26" i="7"/>
  <c r="H26" i="7"/>
  <c r="I26" i="7"/>
  <c r="J26" i="7"/>
  <c r="I30" i="7"/>
  <c r="J6" i="7"/>
  <c r="J7" i="7"/>
  <c r="J8" i="7"/>
  <c r="P80" i="7"/>
  <c r="M80" i="7"/>
  <c r="L80" i="7"/>
  <c r="J80" i="7"/>
  <c r="I80" i="7"/>
  <c r="H80" i="7"/>
  <c r="G80" i="7"/>
  <c r="F80" i="7"/>
  <c r="C80" i="7"/>
  <c r="O78" i="7"/>
  <c r="N78" i="7"/>
  <c r="E77" i="7"/>
  <c r="O77" i="7" s="1"/>
  <c r="D77" i="7"/>
  <c r="N77" i="7" s="1"/>
  <c r="E76" i="7"/>
  <c r="O76" i="7" s="1"/>
  <c r="D76" i="7"/>
  <c r="N76" i="7" s="1"/>
  <c r="E75" i="7"/>
  <c r="O75" i="7" s="1"/>
  <c r="D75" i="7"/>
  <c r="N75" i="7" s="1"/>
  <c r="K74" i="7"/>
  <c r="K80" i="7" s="1"/>
  <c r="E74" i="7"/>
  <c r="D74" i="7"/>
  <c r="N74" i="7" s="1"/>
  <c r="N73" i="7"/>
  <c r="E73" i="7"/>
  <c r="O73" i="7" s="1"/>
  <c r="N72" i="7"/>
  <c r="E72" i="7"/>
  <c r="O72" i="7" s="1"/>
  <c r="N71" i="7"/>
  <c r="E71" i="7"/>
  <c r="O71" i="7" s="1"/>
  <c r="E70" i="7"/>
  <c r="O70" i="7" s="1"/>
  <c r="D70" i="7"/>
  <c r="N70" i="7" s="1"/>
  <c r="E69" i="7"/>
  <c r="O69" i="7" s="1"/>
  <c r="D69" i="7"/>
  <c r="N69" i="7" s="1"/>
  <c r="E68" i="7"/>
  <c r="O68" i="7" s="1"/>
  <c r="D68" i="7"/>
  <c r="N68" i="7" s="1"/>
  <c r="E67" i="7"/>
  <c r="O67" i="7" s="1"/>
  <c r="D67" i="7"/>
  <c r="N67" i="7" s="1"/>
  <c r="E66" i="7"/>
  <c r="O66" i="7" s="1"/>
  <c r="D66" i="7"/>
  <c r="O65" i="7"/>
  <c r="B65" i="7"/>
  <c r="B80" i="7" s="1"/>
  <c r="M60" i="7"/>
  <c r="L60" i="7"/>
  <c r="H60" i="7"/>
  <c r="C60" i="7"/>
  <c r="B60" i="7"/>
  <c r="J9" i="7"/>
  <c r="J10" i="7"/>
  <c r="J11" i="7"/>
  <c r="J12" i="7"/>
  <c r="J13" i="7"/>
  <c r="J14" i="7"/>
  <c r="J15" i="7"/>
  <c r="J16" i="7"/>
  <c r="J17" i="7"/>
  <c r="J18" i="7"/>
  <c r="J19" i="7"/>
  <c r="J20" i="7"/>
  <c r="I20" i="7"/>
  <c r="J21" i="7"/>
  <c r="I21" i="7"/>
  <c r="J22" i="7"/>
  <c r="I22" i="7"/>
  <c r="J23" i="7"/>
  <c r="I23" i="7"/>
  <c r="N65" i="7" l="1"/>
  <c r="D80" i="7"/>
  <c r="E80" i="7"/>
  <c r="J30" i="7"/>
  <c r="O74" i="7"/>
  <c r="O80" i="7" s="1"/>
  <c r="N66" i="7"/>
  <c r="N80" i="7" l="1"/>
  <c r="G8" i="6"/>
  <c r="F8" i="6"/>
  <c r="E8" i="6"/>
  <c r="G7" i="6"/>
  <c r="F7" i="6"/>
  <c r="E7" i="6"/>
  <c r="F8" i="4"/>
  <c r="J23" i="1" l="1"/>
  <c r="J22" i="1"/>
  <c r="J21" i="1"/>
  <c r="J20" i="1"/>
  <c r="I23" i="1"/>
  <c r="I22" i="1"/>
  <c r="I21" i="1"/>
  <c r="I20" i="1"/>
  <c r="F16" i="4" l="1"/>
  <c r="G16" i="4"/>
  <c r="G16" i="6"/>
  <c r="G6" i="6" l="1"/>
  <c r="G5" i="6"/>
  <c r="G12" i="6"/>
  <c r="E12" i="6"/>
  <c r="F12" i="6" s="1"/>
  <c r="C12" i="6"/>
  <c r="G11" i="6"/>
  <c r="E11" i="6"/>
  <c r="F11" i="6" s="1"/>
  <c r="C11" i="6"/>
  <c r="G10" i="6"/>
  <c r="E10" i="6"/>
  <c r="F10" i="6" s="1"/>
  <c r="C10" i="6"/>
  <c r="G9" i="6"/>
  <c r="E9" i="6"/>
  <c r="F9" i="6" s="1"/>
  <c r="C9" i="6"/>
  <c r="C8" i="6"/>
  <c r="C7" i="6"/>
  <c r="E6" i="6"/>
  <c r="F6" i="6" s="1"/>
  <c r="C6" i="6"/>
  <c r="E5" i="6"/>
  <c r="F5" i="6" s="1"/>
  <c r="C5" i="6"/>
  <c r="G12" i="4"/>
  <c r="G11" i="4"/>
  <c r="G10" i="4"/>
  <c r="G9" i="4"/>
  <c r="G8" i="4"/>
  <c r="G7" i="4"/>
  <c r="G6" i="4"/>
  <c r="G5" i="4"/>
  <c r="F16" i="6" l="1"/>
  <c r="E12" i="4"/>
  <c r="F12" i="4" s="1"/>
  <c r="C12" i="4"/>
  <c r="E11" i="4"/>
  <c r="F11" i="4" s="1"/>
  <c r="C11" i="4"/>
  <c r="E10" i="4"/>
  <c r="F10" i="4" s="1"/>
  <c r="C10" i="4"/>
  <c r="E9" i="4"/>
  <c r="F9" i="4" s="1"/>
  <c r="C9" i="4"/>
  <c r="E8" i="4"/>
  <c r="C8" i="4"/>
  <c r="E7" i="4"/>
  <c r="F7" i="4" s="1"/>
  <c r="C7" i="4"/>
  <c r="E6" i="4"/>
  <c r="F6" i="4" s="1"/>
  <c r="C6" i="4"/>
  <c r="E5" i="4"/>
  <c r="F5" i="4" s="1"/>
  <c r="C5" i="4"/>
  <c r="F6" i="1"/>
  <c r="J6" i="1" s="1"/>
  <c r="I26" i="1"/>
  <c r="J26" i="1" s="1"/>
  <c r="I30" i="1"/>
  <c r="F19" i="1"/>
  <c r="J19" i="1" s="1"/>
  <c r="E26" i="1" l="1"/>
  <c r="F26" i="1" s="1"/>
  <c r="J30" i="1" l="1"/>
</calcChain>
</file>

<file path=xl/sharedStrings.xml><?xml version="1.0" encoding="utf-8"?>
<sst xmlns="http://schemas.openxmlformats.org/spreadsheetml/2006/main" count="234" uniqueCount="92">
  <si>
    <t>LEVELS</t>
  </si>
  <si>
    <r>
      <t xml:space="preserve">HEIGHT
</t>
    </r>
    <r>
      <rPr>
        <sz val="11"/>
        <color theme="1"/>
        <rFont val="Calibri"/>
        <family val="2"/>
        <scheme val="minor"/>
      </rPr>
      <t>(m/flr)</t>
    </r>
  </si>
  <si>
    <t>Level 13</t>
  </si>
  <si>
    <t>Level 1</t>
  </si>
  <si>
    <t>Level P1</t>
  </si>
  <si>
    <r>
      <t xml:space="preserve">TOTAL HEIGHT
</t>
    </r>
    <r>
      <rPr>
        <sz val="11"/>
        <color theme="1"/>
        <rFont val="Calibri"/>
        <family val="2"/>
        <scheme val="minor"/>
      </rPr>
      <t>(m)</t>
    </r>
  </si>
  <si>
    <t>Levels 11-12</t>
  </si>
  <si>
    <r>
      <t xml:space="preserve">TOTAL AREA
</t>
    </r>
    <r>
      <rPr>
        <sz val="11"/>
        <color theme="1"/>
        <rFont val="Calibri"/>
        <family val="2"/>
        <scheme val="minor"/>
      </rPr>
      <t>(sq ft)</t>
    </r>
  </si>
  <si>
    <t>Level 2</t>
  </si>
  <si>
    <r>
      <t xml:space="preserve">AREA
</t>
    </r>
    <r>
      <rPr>
        <sz val="11"/>
        <color theme="1"/>
        <rFont val="Calibri"/>
        <family val="2"/>
        <scheme val="minor"/>
      </rPr>
      <t>(sq m/flr)</t>
    </r>
  </si>
  <si>
    <r>
      <t xml:space="preserve">AREA
</t>
    </r>
    <r>
      <rPr>
        <sz val="11"/>
        <color theme="1"/>
        <rFont val="Calibri"/>
        <family val="2"/>
        <scheme val="minor"/>
      </rPr>
      <t>(sq ft/flr)</t>
    </r>
  </si>
  <si>
    <t>Sq mm to sq m ratio</t>
  </si>
  <si>
    <t>Sq m to sq ft ratio</t>
  </si>
  <si>
    <t>Level 10</t>
  </si>
  <si>
    <t>Levels 7-9</t>
  </si>
  <si>
    <t>Levels 6</t>
  </si>
  <si>
    <t>Levels 3-5</t>
  </si>
  <si>
    <t>TOTAL CONDO GFA (ABOVE GROUND)</t>
  </si>
  <si>
    <t>CONDO</t>
  </si>
  <si>
    <r>
      <t xml:space="preserve">TOTAL AREA
</t>
    </r>
    <r>
      <rPr>
        <sz val="11"/>
        <color theme="1"/>
        <rFont val="Calibri"/>
        <family val="2"/>
        <scheme val="minor"/>
      </rPr>
      <t>(sq m)</t>
    </r>
  </si>
  <si>
    <t>AFFORDABLE</t>
  </si>
  <si>
    <t>TOTAL AFFORDABLE GFA (ABOVE GROUND)</t>
  </si>
  <si>
    <t>RETAIL</t>
  </si>
  <si>
    <t xml:space="preserve"> </t>
  </si>
  <si>
    <t>Level 14</t>
  </si>
  <si>
    <t>R3/R4 GFA CALCULATION</t>
  </si>
  <si>
    <t>sq. m</t>
  </si>
  <si>
    <t>sq. ft</t>
  </si>
  <si>
    <r>
      <rPr>
        <b/>
        <sz val="14"/>
        <color theme="1"/>
        <rFont val="Calibri"/>
        <family val="2"/>
        <scheme val="minor"/>
      </rPr>
      <t>TOTAL GFA</t>
    </r>
    <r>
      <rPr>
        <b/>
        <sz val="11"/>
        <color theme="1"/>
        <rFont val="Calibri"/>
        <family val="2"/>
        <scheme val="minor"/>
      </rPr>
      <t xml:space="preserve"> (ABOVE GROUND)</t>
    </r>
  </si>
  <si>
    <t>sq. m.</t>
  </si>
  <si>
    <t>sq. ft.</t>
  </si>
  <si>
    <t xml:space="preserve">Level P2 </t>
  </si>
  <si>
    <t>Level P3</t>
  </si>
  <si>
    <t>Level P4</t>
  </si>
  <si>
    <t>SUB TOTAL FINISHED AREA BELLOW GROUND</t>
  </si>
  <si>
    <t>Above Ground Finished Areas</t>
  </si>
  <si>
    <t>Retail</t>
  </si>
  <si>
    <t>Balcony (Affordable)</t>
  </si>
  <si>
    <t>Balcony (Condo)</t>
  </si>
  <si>
    <t>Recreation</t>
  </si>
  <si>
    <t>Total TFA</t>
  </si>
  <si>
    <t>Suites</t>
  </si>
  <si>
    <t xml:space="preserve">Ground Floor </t>
  </si>
  <si>
    <t xml:space="preserve">Level 2 </t>
  </si>
  <si>
    <t>Level 3</t>
  </si>
  <si>
    <t>Level 4</t>
  </si>
  <si>
    <t>Level 5</t>
  </si>
  <si>
    <t>Level 6</t>
  </si>
  <si>
    <t>Level 7</t>
  </si>
  <si>
    <t>Level 8</t>
  </si>
  <si>
    <t>Level 9</t>
  </si>
  <si>
    <t>Level 11</t>
  </si>
  <si>
    <t>Level 12</t>
  </si>
  <si>
    <t>SUB TOTAL FINISHED AREA ABOVE GROUND</t>
  </si>
  <si>
    <t xml:space="preserve">  </t>
  </si>
  <si>
    <t>SUB TOTAL GFA ABOVE GROUND</t>
  </si>
  <si>
    <t>Levels 3</t>
  </si>
  <si>
    <t>Levels 4</t>
  </si>
  <si>
    <t>Levels 5</t>
  </si>
  <si>
    <t>Levels 7</t>
  </si>
  <si>
    <t>Levels 8</t>
  </si>
  <si>
    <t>Levels 9</t>
  </si>
  <si>
    <t>Levels 12</t>
  </si>
  <si>
    <t>Levels 11</t>
  </si>
  <si>
    <t>Level P2</t>
  </si>
  <si>
    <t>Level 1M</t>
  </si>
  <si>
    <r>
      <t xml:space="preserve">TOTAL SALABLE AREA
</t>
    </r>
    <r>
      <rPr>
        <sz val="11"/>
        <color theme="1"/>
        <rFont val="Calibri"/>
        <family val="2"/>
        <scheme val="minor"/>
      </rPr>
      <t>(sq m)</t>
    </r>
  </si>
  <si>
    <r>
      <t xml:space="preserve">TOTAL SALABLE AREA
</t>
    </r>
    <r>
      <rPr>
        <sz val="11"/>
        <color theme="1"/>
        <rFont val="Calibri"/>
        <family val="2"/>
        <scheme val="minor"/>
      </rPr>
      <t>(sq ft)</t>
    </r>
  </si>
  <si>
    <t>Levels 10</t>
  </si>
  <si>
    <t>=</t>
  </si>
  <si>
    <t>-</t>
  </si>
  <si>
    <t>UNITS</t>
  </si>
  <si>
    <t>TOTAL UNITS</t>
  </si>
  <si>
    <t>/</t>
  </si>
  <si>
    <t>AREA</t>
  </si>
  <si>
    <t>GROUPS</t>
  </si>
  <si>
    <t>x</t>
  </si>
  <si>
    <t>X</t>
  </si>
  <si>
    <t>1st 50 units</t>
  </si>
  <si>
    <t>+</t>
  </si>
  <si>
    <t>UNCOMPACTED</t>
  </si>
  <si>
    <t>AREA ABOVE</t>
  </si>
  <si>
    <t>TOTAL AREA</t>
  </si>
  <si>
    <t>PH.1</t>
  </si>
  <si>
    <t>PH.2 - Mech PH</t>
  </si>
  <si>
    <r>
      <rPr>
        <b/>
        <sz val="14"/>
        <color theme="1"/>
        <rFont val="Calibri"/>
        <family val="2"/>
        <scheme val="minor"/>
      </rPr>
      <t>TOTAL TFA</t>
    </r>
    <r>
      <rPr>
        <b/>
        <sz val="11"/>
        <color theme="1"/>
        <rFont val="Calibri"/>
        <family val="2"/>
        <scheme val="minor"/>
      </rPr>
      <t xml:space="preserve"> (ABOVE GROUND)</t>
    </r>
  </si>
  <si>
    <t>AQUAVISTA R3/R4 TFA CALCULATION - loading, park'g removed</t>
  </si>
  <si>
    <t>AQUAVISTA R3/R4 GFA CALCULATION - mech, loading, park'g, amenity removed</t>
  </si>
  <si>
    <t>PARKING</t>
  </si>
  <si>
    <t>AMENITY</t>
  </si>
  <si>
    <t>RESID.</t>
  </si>
  <si>
    <t>AFFORD.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</si>
</sst>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theme="1" tint="0.1499984740745262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E6C3"/>
        <bgColor indexed="64"/>
      </patternFill>
    </fill>
    <fill>
      <patternFill patternType="solid">
        <fgColor rgb="FFFCC28A"/>
        <bgColor indexed="64"/>
      </patternFill>
    </fill>
    <fill>
      <patternFill patternType="solid">
        <fgColor rgb="FFD3E5D6"/>
        <bgColor indexed="64"/>
      </patternFill>
    </fill>
    <fill>
      <patternFill patternType="solid">
        <fgColor rgb="FFB3DFCC"/>
        <bgColor indexed="64"/>
      </patternFill>
    </fill>
    <fill>
      <patternFill patternType="solid">
        <fgColor rgb="FFCCC5DC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4">
    <xf numFmtId="0" fontId="0" fillId="0" borderId="0" xfId="0"/>
    <xf numFmtId="0" fontId="4" fillId="0" borderId="10" xfId="0" applyFont="1" applyBorder="1" applyAlignment="1">
      <alignment horizontal="left" vertical="center"/>
    </xf>
    <xf numFmtId="164" fontId="4" fillId="0" borderId="4" xfId="1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164" fontId="4" fillId="0" borderId="6" xfId="1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12" xfId="1" applyNumberFormat="1" applyFont="1" applyFill="1" applyBorder="1" applyAlignment="1">
      <alignment horizontal="center" vertical="center"/>
    </xf>
    <xf numFmtId="164" fontId="4" fillId="0" borderId="13" xfId="1" applyNumberFormat="1" applyFont="1" applyFill="1" applyBorder="1" applyAlignment="1">
      <alignment horizontal="center" vertical="center"/>
    </xf>
    <xf numFmtId="164" fontId="2" fillId="0" borderId="0" xfId="0" applyNumberFormat="1" applyFont="1"/>
    <xf numFmtId="3" fontId="0" fillId="0" borderId="0" xfId="0" applyNumberFormat="1"/>
    <xf numFmtId="0" fontId="0" fillId="0" borderId="0" xfId="0" applyFill="1"/>
    <xf numFmtId="164" fontId="3" fillId="0" borderId="19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0" fillId="2" borderId="3" xfId="0" applyNumberForma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164" fontId="0" fillId="2" borderId="12" xfId="1" applyNumberFormat="1" applyFont="1" applyFill="1" applyBorder="1" applyAlignment="1">
      <alignment horizontal="center" vertical="center"/>
    </xf>
    <xf numFmtId="0" fontId="0" fillId="3" borderId="3" xfId="0" applyNumberFormat="1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164" fontId="0" fillId="3" borderId="4" xfId="1" applyNumberFormat="1" applyFont="1" applyFill="1" applyBorder="1" applyAlignment="1">
      <alignment horizontal="center" vertical="center"/>
    </xf>
    <xf numFmtId="164" fontId="0" fillId="3" borderId="12" xfId="1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left" vertical="center"/>
    </xf>
    <xf numFmtId="0" fontId="0" fillId="4" borderId="4" xfId="0" applyFill="1" applyBorder="1" applyAlignment="1">
      <alignment horizontal="center" vertical="center"/>
    </xf>
    <xf numFmtId="164" fontId="0" fillId="4" borderId="4" xfId="1" applyNumberFormat="1" applyFont="1" applyFill="1" applyBorder="1" applyAlignment="1">
      <alignment horizontal="center" vertical="center"/>
    </xf>
    <xf numFmtId="164" fontId="0" fillId="4" borderId="12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164" fontId="7" fillId="2" borderId="12" xfId="1" applyNumberFormat="1" applyFont="1" applyFill="1" applyBorder="1" applyAlignment="1">
      <alignment horizontal="center" vertical="center"/>
    </xf>
    <xf numFmtId="39" fontId="0" fillId="2" borderId="4" xfId="1" applyNumberFormat="1" applyFont="1" applyFill="1" applyBorder="1" applyAlignment="1">
      <alignment horizontal="right" vertical="center"/>
    </xf>
    <xf numFmtId="39" fontId="0" fillId="3" borderId="4" xfId="1" applyNumberFormat="1" applyFont="1" applyFill="1" applyBorder="1" applyAlignment="1">
      <alignment horizontal="right"/>
    </xf>
    <xf numFmtId="39" fontId="3" fillId="0" borderId="19" xfId="0" applyNumberFormat="1" applyFont="1" applyBorder="1" applyAlignment="1">
      <alignment horizontal="right" vertical="center"/>
    </xf>
    <xf numFmtId="164" fontId="2" fillId="4" borderId="23" xfId="1" applyNumberFormat="1" applyFont="1" applyFill="1" applyBorder="1" applyAlignment="1">
      <alignment horizontal="center" vertical="center"/>
    </xf>
    <xf numFmtId="164" fontId="2" fillId="3" borderId="23" xfId="1" applyNumberFormat="1" applyFont="1" applyFill="1" applyBorder="1" applyAlignment="1">
      <alignment horizontal="center" vertical="center"/>
    </xf>
    <xf numFmtId="165" fontId="2" fillId="3" borderId="23" xfId="1" applyNumberFormat="1" applyFont="1" applyFill="1" applyBorder="1" applyAlignment="1">
      <alignment horizontal="right" vertical="center"/>
    </xf>
    <xf numFmtId="39" fontId="2" fillId="2" borderId="23" xfId="1" applyNumberFormat="1" applyFont="1" applyFill="1" applyBorder="1" applyAlignment="1">
      <alignment horizontal="right" vertical="center"/>
    </xf>
    <xf numFmtId="164" fontId="5" fillId="0" borderId="23" xfId="1" applyNumberFormat="1" applyFont="1" applyFill="1" applyBorder="1" applyAlignment="1">
      <alignment horizontal="center" vertical="center"/>
    </xf>
    <xf numFmtId="164" fontId="5" fillId="0" borderId="16" xfId="1" applyNumberFormat="1" applyFont="1" applyFill="1" applyBorder="1" applyAlignment="1">
      <alignment horizontal="center" vertical="center"/>
    </xf>
    <xf numFmtId="164" fontId="2" fillId="4" borderId="2" xfId="1" applyNumberFormat="1" applyFont="1" applyFill="1" applyBorder="1" applyAlignment="1">
      <alignment horizontal="center" vertical="center"/>
    </xf>
    <xf numFmtId="164" fontId="2" fillId="4" borderId="4" xfId="1" applyNumberFormat="1" applyFont="1" applyFill="1" applyBorder="1" applyAlignment="1">
      <alignment horizontal="center" vertical="center"/>
    </xf>
    <xf numFmtId="164" fontId="2" fillId="3" borderId="4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164" fontId="5" fillId="0" borderId="6" xfId="1" applyNumberFormat="1" applyFont="1" applyFill="1" applyBorder="1" applyAlignment="1">
      <alignment horizontal="center" vertical="center"/>
    </xf>
    <xf numFmtId="39" fontId="0" fillId="3" borderId="4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center" vertical="center"/>
    </xf>
    <xf numFmtId="164" fontId="8" fillId="2" borderId="23" xfId="1" applyNumberFormat="1" applyFon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164" fontId="0" fillId="0" borderId="4" xfId="1" applyNumberFormat="1" applyFont="1" applyFill="1" applyBorder="1" applyAlignment="1">
      <alignment horizontal="center" vertical="center"/>
    </xf>
    <xf numFmtId="164" fontId="0" fillId="0" borderId="12" xfId="1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0" fillId="5" borderId="29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164" fontId="2" fillId="0" borderId="23" xfId="1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8" fillId="0" borderId="23" xfId="1" applyNumberFormat="1" applyFont="1" applyFill="1" applyBorder="1" applyAlignment="1">
      <alignment horizontal="center" vertical="center"/>
    </xf>
    <xf numFmtId="164" fontId="3" fillId="5" borderId="19" xfId="0" applyNumberFormat="1" applyFont="1" applyFill="1" applyBorder="1" applyAlignment="1">
      <alignment horizontal="left" vertical="center"/>
    </xf>
    <xf numFmtId="0" fontId="0" fillId="5" borderId="31" xfId="0" applyFill="1" applyBorder="1"/>
    <xf numFmtId="0" fontId="0" fillId="5" borderId="5" xfId="0" applyFill="1" applyBorder="1"/>
    <xf numFmtId="0" fontId="0" fillId="5" borderId="33" xfId="0" applyFill="1" applyBorder="1"/>
    <xf numFmtId="0" fontId="0" fillId="5" borderId="32" xfId="0" applyFill="1" applyBorder="1"/>
    <xf numFmtId="0" fontId="0" fillId="5" borderId="36" xfId="0" applyFill="1" applyBorder="1"/>
    <xf numFmtId="0" fontId="0" fillId="5" borderId="7" xfId="0" applyFill="1" applyBorder="1"/>
    <xf numFmtId="0" fontId="0" fillId="0" borderId="37" xfId="0" applyBorder="1"/>
    <xf numFmtId="164" fontId="0" fillId="9" borderId="38" xfId="1" applyNumberFormat="1" applyFont="1" applyFill="1" applyBorder="1" applyAlignment="1">
      <alignment horizontal="center" vertical="center"/>
    </xf>
    <xf numFmtId="164" fontId="0" fillId="0" borderId="39" xfId="1" applyNumberFormat="1" applyFont="1" applyFill="1" applyBorder="1" applyAlignment="1">
      <alignment horizontal="center" vertical="center"/>
    </xf>
    <xf numFmtId="164" fontId="0" fillId="0" borderId="40" xfId="1" applyNumberFormat="1" applyFont="1" applyFill="1" applyBorder="1" applyAlignment="1">
      <alignment horizontal="center" vertical="center"/>
    </xf>
    <xf numFmtId="164" fontId="0" fillId="0" borderId="41" xfId="1" applyNumberFormat="1" applyFont="1" applyFill="1" applyBorder="1" applyAlignment="1">
      <alignment horizontal="center" vertical="center"/>
    </xf>
    <xf numFmtId="164" fontId="0" fillId="0" borderId="38" xfId="1" applyNumberFormat="1" applyFont="1" applyFill="1" applyBorder="1" applyAlignment="1">
      <alignment horizontal="center" vertical="center"/>
    </xf>
    <xf numFmtId="164" fontId="0" fillId="0" borderId="42" xfId="1" applyNumberFormat="1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1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wrapText="1"/>
    </xf>
    <xf numFmtId="164" fontId="8" fillId="0" borderId="43" xfId="0" applyNumberFormat="1" applyFont="1" applyFill="1" applyBorder="1" applyAlignment="1">
      <alignment horizontal="center" vertical="center"/>
    </xf>
    <xf numFmtId="164" fontId="8" fillId="0" borderId="44" xfId="0" applyNumberFormat="1" applyFont="1" applyFill="1" applyBorder="1" applyAlignment="1">
      <alignment horizontal="center" vertical="center"/>
    </xf>
    <xf numFmtId="164" fontId="8" fillId="0" borderId="18" xfId="0" applyNumberFormat="1" applyFont="1" applyFill="1" applyBorder="1" applyAlignment="1">
      <alignment horizontal="center" vertical="center"/>
    </xf>
    <xf numFmtId="164" fontId="8" fillId="0" borderId="45" xfId="0" applyNumberFormat="1" applyFont="1" applyFill="1" applyBorder="1" applyAlignment="1">
      <alignment horizontal="center" vertical="center"/>
    </xf>
    <xf numFmtId="164" fontId="7" fillId="0" borderId="46" xfId="0" applyNumberFormat="1" applyFont="1" applyFill="1" applyBorder="1" applyAlignment="1">
      <alignment horizontal="center" vertical="center"/>
    </xf>
    <xf numFmtId="164" fontId="7" fillId="0" borderId="27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wrapText="1"/>
    </xf>
    <xf numFmtId="164" fontId="8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/>
    <xf numFmtId="0" fontId="0" fillId="0" borderId="0" xfId="0" applyNumberFormat="1" applyBorder="1"/>
    <xf numFmtId="0" fontId="0" fillId="0" borderId="0" xfId="0" applyNumberFormat="1" applyFill="1" applyBorder="1"/>
    <xf numFmtId="0" fontId="2" fillId="5" borderId="47" xfId="0" applyFont="1" applyFill="1" applyBorder="1"/>
    <xf numFmtId="0" fontId="2" fillId="5" borderId="28" xfId="0" applyFont="1" applyFill="1" applyBorder="1" applyAlignment="1">
      <alignment horizontal="left"/>
    </xf>
    <xf numFmtId="0" fontId="2" fillId="5" borderId="52" xfId="0" applyFont="1" applyFill="1" applyBorder="1"/>
    <xf numFmtId="0" fontId="0" fillId="5" borderId="11" xfId="0" applyFill="1" applyBorder="1"/>
    <xf numFmtId="0" fontId="0" fillId="5" borderId="29" xfId="0" applyFill="1" applyBorder="1"/>
    <xf numFmtId="0" fontId="0" fillId="5" borderId="53" xfId="0" applyFill="1" applyBorder="1"/>
    <xf numFmtId="164" fontId="0" fillId="6" borderId="38" xfId="1" applyNumberFormat="1" applyFont="1" applyFill="1" applyBorder="1" applyAlignment="1">
      <alignment horizontal="center" vertical="center"/>
    </xf>
    <xf numFmtId="164" fontId="0" fillId="8" borderId="38" xfId="1" applyNumberFormat="1" applyFont="1" applyFill="1" applyBorder="1" applyAlignment="1">
      <alignment horizontal="center" vertical="center"/>
    </xf>
    <xf numFmtId="164" fontId="0" fillId="10" borderId="38" xfId="1" applyNumberFormat="1" applyFont="1" applyFill="1" applyBorder="1" applyAlignment="1">
      <alignment horizontal="center" vertical="center"/>
    </xf>
    <xf numFmtId="164" fontId="0" fillId="6" borderId="54" xfId="1" applyNumberFormat="1" applyFont="1" applyFill="1" applyBorder="1" applyAlignment="1">
      <alignment horizontal="center" vertical="center"/>
    </xf>
    <xf numFmtId="164" fontId="0" fillId="8" borderId="54" xfId="1" applyNumberFormat="1" applyFont="1" applyFill="1" applyBorder="1" applyAlignment="1">
      <alignment horizontal="center" vertical="center"/>
    </xf>
    <xf numFmtId="164" fontId="0" fillId="0" borderId="54" xfId="1" applyNumberFormat="1" applyFont="1" applyFill="1" applyBorder="1" applyAlignment="1">
      <alignment horizontal="center" vertical="center"/>
    </xf>
    <xf numFmtId="164" fontId="0" fillId="0" borderId="55" xfId="1" applyNumberFormat="1" applyFont="1" applyFill="1" applyBorder="1" applyAlignment="1">
      <alignment horizontal="center" vertical="center"/>
    </xf>
    <xf numFmtId="2" fontId="0" fillId="6" borderId="38" xfId="1" applyNumberFormat="1" applyFont="1" applyFill="1" applyBorder="1" applyAlignment="1">
      <alignment horizontal="center" vertical="center"/>
    </xf>
    <xf numFmtId="164" fontId="0" fillId="9" borderId="54" xfId="1" applyNumberFormat="1" applyFont="1" applyFill="1" applyBorder="1" applyAlignment="1">
      <alignment horizontal="center" vertical="center"/>
    </xf>
    <xf numFmtId="164" fontId="0" fillId="0" borderId="56" xfId="1" applyNumberFormat="1" applyFont="1" applyFill="1" applyBorder="1" applyAlignment="1">
      <alignment horizontal="center" vertical="center"/>
    </xf>
    <xf numFmtId="164" fontId="0" fillId="0" borderId="57" xfId="1" applyNumberFormat="1" applyFont="1" applyFill="1" applyBorder="1" applyAlignment="1">
      <alignment horizontal="center" vertical="center"/>
    </xf>
    <xf numFmtId="0" fontId="0" fillId="0" borderId="58" xfId="0" applyBorder="1"/>
    <xf numFmtId="164" fontId="0" fillId="6" borderId="39" xfId="1" applyNumberFormat="1" applyFont="1" applyFill="1" applyBorder="1" applyAlignment="1">
      <alignment horizontal="center" vertical="center"/>
    </xf>
    <xf numFmtId="164" fontId="0" fillId="7" borderId="59" xfId="0" applyNumberFormat="1" applyFill="1" applyBorder="1" applyAlignment="1">
      <alignment horizontal="center" vertical="center"/>
    </xf>
    <xf numFmtId="164" fontId="0" fillId="7" borderId="60" xfId="0" applyNumberForma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 applyAlignment="1">
      <alignment horizontal="center" vertical="center"/>
    </xf>
    <xf numFmtId="164" fontId="7" fillId="6" borderId="43" xfId="0" applyNumberFormat="1" applyFont="1" applyFill="1" applyBorder="1" applyAlignment="1">
      <alignment horizontal="center" vertical="center"/>
    </xf>
    <xf numFmtId="164" fontId="7" fillId="6" borderId="44" xfId="0" applyNumberFormat="1" applyFont="1" applyFill="1" applyBorder="1" applyAlignment="1">
      <alignment horizontal="center" vertical="center"/>
    </xf>
    <xf numFmtId="164" fontId="7" fillId="8" borderId="61" xfId="0" applyNumberFormat="1" applyFont="1" applyFill="1" applyBorder="1" applyAlignment="1">
      <alignment horizontal="center" vertical="center"/>
    </xf>
    <xf numFmtId="164" fontId="7" fillId="8" borderId="44" xfId="0" applyNumberFormat="1" applyFont="1" applyFill="1" applyBorder="1" applyAlignment="1">
      <alignment horizontal="center" vertical="center"/>
    </xf>
    <xf numFmtId="164" fontId="7" fillId="10" borderId="61" xfId="0" applyNumberFormat="1" applyFont="1" applyFill="1" applyBorder="1" applyAlignment="1">
      <alignment horizontal="center" vertical="center"/>
    </xf>
    <xf numFmtId="164" fontId="7" fillId="10" borderId="44" xfId="0" applyNumberFormat="1" applyFont="1" applyFill="1" applyBorder="1" applyAlignment="1">
      <alignment horizontal="center" vertical="center"/>
    </xf>
    <xf numFmtId="1" fontId="7" fillId="6" borderId="61" xfId="0" applyNumberFormat="1" applyFont="1" applyFill="1" applyBorder="1" applyAlignment="1">
      <alignment horizontal="center" vertical="center"/>
    </xf>
    <xf numFmtId="164" fontId="7" fillId="0" borderId="61" xfId="0" applyNumberFormat="1" applyFont="1" applyFill="1" applyBorder="1" applyAlignment="1">
      <alignment horizontal="center" vertical="center"/>
    </xf>
    <xf numFmtId="164" fontId="7" fillId="0" borderId="44" xfId="0" applyNumberFormat="1" applyFont="1" applyFill="1" applyBorder="1" applyAlignment="1">
      <alignment horizontal="center" vertical="center"/>
    </xf>
    <xf numFmtId="164" fontId="8" fillId="0" borderId="46" xfId="0" applyNumberFormat="1" applyFont="1" applyFill="1" applyBorder="1" applyAlignment="1">
      <alignment horizontal="center" vertical="center"/>
    </xf>
    <xf numFmtId="164" fontId="8" fillId="0" borderId="62" xfId="0" applyNumberFormat="1" applyFont="1" applyFill="1" applyBorder="1" applyAlignment="1">
      <alignment horizontal="center" vertical="center"/>
    </xf>
    <xf numFmtId="164" fontId="0" fillId="6" borderId="4" xfId="1" applyNumberFormat="1" applyFont="1" applyFill="1" applyBorder="1" applyAlignment="1">
      <alignment horizontal="center" vertical="center"/>
    </xf>
    <xf numFmtId="164" fontId="0" fillId="0" borderId="25" xfId="1" applyNumberFormat="1" applyFont="1" applyFill="1" applyBorder="1" applyAlignment="1">
      <alignment horizontal="center" vertical="center"/>
    </xf>
    <xf numFmtId="164" fontId="4" fillId="0" borderId="22" xfId="1" applyNumberFormat="1" applyFont="1" applyFill="1" applyBorder="1" applyAlignment="1">
      <alignment horizontal="center" vertical="center"/>
    </xf>
    <xf numFmtId="164" fontId="0" fillId="0" borderId="24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4" fontId="0" fillId="8" borderId="4" xfId="1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64" fontId="0" fillId="10" borderId="4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4" fillId="0" borderId="64" xfId="0" applyFont="1" applyBorder="1" applyAlignment="1">
      <alignment horizontal="left" vertical="center"/>
    </xf>
    <xf numFmtId="164" fontId="2" fillId="0" borderId="22" xfId="1" applyNumberFormat="1" applyFont="1" applyFill="1" applyBorder="1" applyAlignment="1">
      <alignment horizontal="center" vertical="center"/>
    </xf>
    <xf numFmtId="164" fontId="2" fillId="0" borderId="14" xfId="1" applyNumberFormat="1" applyFont="1" applyFill="1" applyBorder="1" applyAlignment="1">
      <alignment horizontal="center" vertical="center"/>
    </xf>
    <xf numFmtId="0" fontId="0" fillId="0" borderId="4" xfId="0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5" borderId="49" xfId="0" applyFont="1" applyFill="1" applyBorder="1" applyAlignment="1">
      <alignment horizontal="left"/>
    </xf>
    <xf numFmtId="43" fontId="2" fillId="3" borderId="4" xfId="1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64" fontId="8" fillId="11" borderId="62" xfId="0" applyNumberFormat="1" applyFont="1" applyFill="1" applyBorder="1"/>
    <xf numFmtId="0" fontId="0" fillId="0" borderId="10" xfId="0" applyBorder="1"/>
    <xf numFmtId="0" fontId="0" fillId="0" borderId="75" xfId="0" applyBorder="1"/>
    <xf numFmtId="164" fontId="2" fillId="0" borderId="76" xfId="1" applyNumberFormat="1" applyFont="1" applyFill="1" applyBorder="1" applyAlignment="1">
      <alignment horizontal="center" vertical="center"/>
    </xf>
    <xf numFmtId="164" fontId="2" fillId="0" borderId="77" xfId="1" applyNumberFormat="1" applyFont="1" applyFill="1" applyBorder="1" applyAlignment="1">
      <alignment horizontal="center" vertical="center"/>
    </xf>
    <xf numFmtId="0" fontId="0" fillId="0" borderId="5" xfId="0" applyBorder="1"/>
    <xf numFmtId="164" fontId="8" fillId="0" borderId="78" xfId="1" applyNumberFormat="1" applyFont="1" applyFill="1" applyBorder="1" applyAlignment="1">
      <alignment horizontal="center" vertical="center"/>
    </xf>
    <xf numFmtId="0" fontId="0" fillId="0" borderId="7" xfId="0" applyBorder="1"/>
    <xf numFmtId="164" fontId="2" fillId="0" borderId="23" xfId="1" applyNumberFormat="1" applyFont="1" applyFill="1" applyBorder="1" applyAlignment="1">
      <alignment horizontal="right"/>
    </xf>
    <xf numFmtId="164" fontId="2" fillId="0" borderId="3" xfId="1" applyNumberFormat="1" applyFont="1" applyFill="1" applyBorder="1" applyAlignment="1">
      <alignment horizontal="right"/>
    </xf>
    <xf numFmtId="164" fontId="2" fillId="0" borderId="76" xfId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/>
    <xf numFmtId="2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0" fillId="3" borderId="2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5" borderId="3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right" vertical="center"/>
    </xf>
    <xf numFmtId="0" fontId="2" fillId="5" borderId="18" xfId="0" applyFont="1" applyFill="1" applyBorder="1" applyAlignment="1">
      <alignment horizontal="right" vertical="center"/>
    </xf>
    <xf numFmtId="0" fontId="2" fillId="5" borderId="19" xfId="0" applyFont="1" applyFill="1" applyBorder="1" applyAlignment="1">
      <alignment horizontal="right" vertical="center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164" fontId="10" fillId="0" borderId="71" xfId="0" applyNumberFormat="1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164" fontId="10" fillId="0" borderId="69" xfId="0" applyNumberFormat="1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2" fillId="5" borderId="73" xfId="0" applyFont="1" applyFill="1" applyBorder="1" applyAlignment="1">
      <alignment horizontal="center" vertical="center" wrapText="1"/>
    </xf>
    <xf numFmtId="0" fontId="2" fillId="5" borderId="74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left"/>
    </xf>
    <xf numFmtId="0" fontId="2" fillId="5" borderId="49" xfId="0" applyFont="1" applyFill="1" applyBorder="1" applyAlignment="1">
      <alignment horizontal="left"/>
    </xf>
    <xf numFmtId="0" fontId="2" fillId="5" borderId="26" xfId="0" applyFont="1" applyFill="1" applyBorder="1" applyAlignment="1">
      <alignment horizontal="left"/>
    </xf>
    <xf numFmtId="0" fontId="2" fillId="5" borderId="50" xfId="0" applyFont="1" applyFill="1" applyBorder="1" applyAlignment="1">
      <alignment horizontal="left"/>
    </xf>
    <xf numFmtId="0" fontId="2" fillId="5" borderId="51" xfId="0" applyFont="1" applyFill="1" applyBorder="1" applyAlignment="1">
      <alignment horizontal="left"/>
    </xf>
    <xf numFmtId="0" fontId="0" fillId="5" borderId="34" xfId="0" applyFill="1" applyBorder="1" applyAlignment="1"/>
    <xf numFmtId="0" fontId="0" fillId="0" borderId="35" xfId="0" applyBorder="1" applyAlignment="1"/>
    <xf numFmtId="164" fontId="10" fillId="0" borderId="65" xfId="0" applyNumberFormat="1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0" fillId="0" borderId="73" xfId="0" applyBorder="1"/>
    <xf numFmtId="0" fontId="0" fillId="0" borderId="79" xfId="0" applyBorder="1"/>
    <xf numFmtId="0" fontId="0" fillId="0" borderId="74" xfId="0" applyBorder="1"/>
    <xf numFmtId="0" fontId="0" fillId="0" borderId="63" xfId="0" applyBorder="1"/>
    <xf numFmtId="0" fontId="0" fillId="0" borderId="20" xfId="0" applyBorder="1"/>
    <xf numFmtId="0" fontId="0" fillId="0" borderId="80" xfId="0" applyBorder="1"/>
    <xf numFmtId="0" fontId="0" fillId="0" borderId="81" xfId="0" applyBorder="1"/>
    <xf numFmtId="0" fontId="0" fillId="0" borderId="64" xfId="0" applyBorder="1"/>
    <xf numFmtId="0" fontId="0" fillId="0" borderId="14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tabSelected="1" view="pageBreakPreview" zoomScale="80" zoomScaleNormal="80" zoomScaleSheetLayoutView="80" workbookViewId="0">
      <selection activeCell="S12" sqref="S12"/>
    </sheetView>
  </sheetViews>
  <sheetFormatPr defaultRowHeight="15" x14ac:dyDescent="0.25"/>
  <cols>
    <col min="1" max="1" width="26.42578125" customWidth="1"/>
    <col min="2" max="2" width="12.85546875" customWidth="1"/>
    <col min="3" max="3" width="9.285156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0.28515625" customWidth="1"/>
    <col min="9" max="9" width="16.85546875" customWidth="1"/>
    <col min="10" max="10" width="16.7109375" customWidth="1"/>
    <col min="11" max="11" width="2" customWidth="1"/>
    <col min="12" max="12" width="9.28515625" customWidth="1"/>
    <col min="13" max="13" width="1.28515625" customWidth="1"/>
    <col min="14" max="14" width="10.42578125" customWidth="1"/>
    <col min="16" max="16" width="1.28515625" customWidth="1"/>
  </cols>
  <sheetData>
    <row r="1" spans="1:17" ht="26.25" x14ac:dyDescent="0.4">
      <c r="A1" s="159" t="s">
        <v>86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7" ht="15.75" thickBot="1" x14ac:dyDescent="0.3"/>
    <row r="3" spans="1:17" ht="15" customHeight="1" x14ac:dyDescent="0.25">
      <c r="A3" s="161" t="s">
        <v>0</v>
      </c>
      <c r="B3" s="166" t="s">
        <v>1</v>
      </c>
      <c r="C3" s="172" t="s">
        <v>22</v>
      </c>
      <c r="D3" s="173"/>
      <c r="E3" s="172" t="s">
        <v>18</v>
      </c>
      <c r="F3" s="173"/>
      <c r="G3" s="172" t="s">
        <v>20</v>
      </c>
      <c r="H3" s="173"/>
      <c r="I3" s="170" t="s">
        <v>19</v>
      </c>
      <c r="J3" s="168" t="s">
        <v>7</v>
      </c>
      <c r="L3" s="205" t="s">
        <v>22</v>
      </c>
      <c r="N3" s="208" t="s">
        <v>90</v>
      </c>
      <c r="O3" s="209" t="s">
        <v>18</v>
      </c>
      <c r="Q3" s="205" t="s">
        <v>91</v>
      </c>
    </row>
    <row r="4" spans="1:17" ht="15.75" customHeight="1" thickBot="1" x14ac:dyDescent="0.3">
      <c r="A4" s="162"/>
      <c r="B4" s="167"/>
      <c r="C4" s="52" t="s">
        <v>26</v>
      </c>
      <c r="D4" s="53" t="s">
        <v>27</v>
      </c>
      <c r="E4" s="52" t="s">
        <v>26</v>
      </c>
      <c r="F4" s="53" t="s">
        <v>27</v>
      </c>
      <c r="G4" s="52" t="s">
        <v>26</v>
      </c>
      <c r="H4" s="53" t="s">
        <v>27</v>
      </c>
      <c r="I4" s="171"/>
      <c r="J4" s="169"/>
      <c r="L4" s="206" t="s">
        <v>88</v>
      </c>
      <c r="N4" s="210" t="s">
        <v>88</v>
      </c>
      <c r="O4" s="211" t="s">
        <v>89</v>
      </c>
      <c r="Q4" s="206" t="s">
        <v>89</v>
      </c>
    </row>
    <row r="5" spans="1:17" x14ac:dyDescent="0.25">
      <c r="A5" s="47"/>
      <c r="J5" s="54"/>
      <c r="L5" s="206"/>
      <c r="N5" s="210"/>
      <c r="O5" s="211"/>
      <c r="Q5" s="206"/>
    </row>
    <row r="6" spans="1:17" x14ac:dyDescent="0.25">
      <c r="A6" s="47" t="s">
        <v>84</v>
      </c>
      <c r="B6" s="48">
        <v>5.2</v>
      </c>
      <c r="C6" s="126">
        <f>GFA!C6+2</f>
        <v>2</v>
      </c>
      <c r="D6" s="157">
        <f t="shared" ref="D6:D17" si="0">C6*10.7639</f>
        <v>21.527799999999999</v>
      </c>
      <c r="E6" s="124">
        <f>GFA!E6+415</f>
        <v>793</v>
      </c>
      <c r="F6" s="124">
        <f t="shared" ref="F6:F14" si="1">E6*10.7639</f>
        <v>8535.7726999999995</v>
      </c>
      <c r="G6" s="119">
        <f>GFA!G6+354+Q6</f>
        <v>572</v>
      </c>
      <c r="H6" s="119">
        <f t="shared" ref="H6:H14" si="2">G6*10.7639</f>
        <v>6156.9507999999996</v>
      </c>
      <c r="I6" s="55">
        <f>C6+E6+G6</f>
        <v>1367</v>
      </c>
      <c r="J6" s="56">
        <f>H6+F6+D6</f>
        <v>14714.2513</v>
      </c>
      <c r="L6" s="206"/>
      <c r="N6" s="210"/>
      <c r="O6" s="211"/>
      <c r="Q6" s="206">
        <v>169</v>
      </c>
    </row>
    <row r="7" spans="1:17" x14ac:dyDescent="0.25">
      <c r="A7" s="47" t="s">
        <v>83</v>
      </c>
      <c r="B7" s="48">
        <v>3.9</v>
      </c>
      <c r="C7" s="126">
        <f>GFA!C7+2</f>
        <v>2</v>
      </c>
      <c r="D7" s="157">
        <f t="shared" si="0"/>
        <v>21.527799999999999</v>
      </c>
      <c r="E7" s="124">
        <f>GFA!E7+71</f>
        <v>2182</v>
      </c>
      <c r="F7" s="124">
        <f t="shared" ref="F7" si="3">E7*10.7639</f>
        <v>23486.8298</v>
      </c>
      <c r="G7" s="119">
        <f>GFA!G7+24</f>
        <v>24</v>
      </c>
      <c r="H7" s="119">
        <f t="shared" ref="H7" si="4">G7*10.7639</f>
        <v>258.33359999999999</v>
      </c>
      <c r="I7" s="55">
        <f t="shared" ref="I7:I19" si="5">C7+E7+G7</f>
        <v>2208</v>
      </c>
      <c r="J7" s="56">
        <f t="shared" ref="J7:J19" si="6">H7+F7+D7</f>
        <v>23766.691200000001</v>
      </c>
      <c r="L7" s="206"/>
      <c r="N7" s="210"/>
      <c r="O7" s="211"/>
      <c r="Q7" s="206"/>
    </row>
    <row r="8" spans="1:17" x14ac:dyDescent="0.25">
      <c r="A8" s="47" t="s">
        <v>63</v>
      </c>
      <c r="B8" s="48">
        <v>3.25</v>
      </c>
      <c r="C8" s="126">
        <f>GFA!C8+2</f>
        <v>2</v>
      </c>
      <c r="D8" s="157">
        <f t="shared" si="0"/>
        <v>21.527799999999999</v>
      </c>
      <c r="E8" s="124">
        <f>GFA!E8+71</f>
        <v>2182</v>
      </c>
      <c r="F8" s="124">
        <f t="shared" si="1"/>
        <v>23486.8298</v>
      </c>
      <c r="G8" s="119">
        <f>GFA!G8+24</f>
        <v>24</v>
      </c>
      <c r="H8" s="119">
        <f t="shared" si="2"/>
        <v>258.33359999999999</v>
      </c>
      <c r="I8" s="55">
        <f t="shared" si="5"/>
        <v>2208</v>
      </c>
      <c r="J8" s="56">
        <f t="shared" si="6"/>
        <v>23766.691200000001</v>
      </c>
      <c r="L8" s="206"/>
      <c r="N8" s="210"/>
      <c r="O8" s="211"/>
      <c r="Q8" s="206"/>
    </row>
    <row r="9" spans="1:17" x14ac:dyDescent="0.25">
      <c r="A9" s="47" t="s">
        <v>68</v>
      </c>
      <c r="B9" s="48">
        <v>3.25</v>
      </c>
      <c r="C9" s="126">
        <f>GFA!C9+2</f>
        <v>2</v>
      </c>
      <c r="D9" s="157">
        <f t="shared" si="0"/>
        <v>21.527799999999999</v>
      </c>
      <c r="E9" s="124">
        <f>GFA!E9+71</f>
        <v>2542</v>
      </c>
      <c r="F9" s="124">
        <f t="shared" si="1"/>
        <v>27361.8338</v>
      </c>
      <c r="G9" s="119">
        <f>GFA!G9+24</f>
        <v>24</v>
      </c>
      <c r="H9" s="119">
        <f t="shared" si="2"/>
        <v>258.33359999999999</v>
      </c>
      <c r="I9" s="55">
        <f t="shared" si="5"/>
        <v>2568</v>
      </c>
      <c r="J9" s="56">
        <f t="shared" si="6"/>
        <v>27641.695200000002</v>
      </c>
      <c r="L9" s="206"/>
      <c r="N9" s="210"/>
      <c r="O9" s="211"/>
      <c r="Q9" s="206"/>
    </row>
    <row r="10" spans="1:17" x14ac:dyDescent="0.25">
      <c r="A10" s="47" t="s">
        <v>61</v>
      </c>
      <c r="B10" s="48">
        <v>3.25</v>
      </c>
      <c r="C10" s="126">
        <f>GFA!C10+2</f>
        <v>2</v>
      </c>
      <c r="D10" s="157">
        <f t="shared" si="0"/>
        <v>21.527799999999999</v>
      </c>
      <c r="E10" s="124">
        <f>GFA!E10+71</f>
        <v>1780</v>
      </c>
      <c r="F10" s="124">
        <f t="shared" ref="F10" si="7">E10*10.7639</f>
        <v>19159.741999999998</v>
      </c>
      <c r="G10" s="119">
        <f>GFA!G10+27</f>
        <v>788</v>
      </c>
      <c r="H10" s="119">
        <f t="shared" si="2"/>
        <v>8481.9531999999999</v>
      </c>
      <c r="I10" s="55">
        <f t="shared" si="5"/>
        <v>2570</v>
      </c>
      <c r="J10" s="56">
        <f t="shared" si="6"/>
        <v>27663.222999999998</v>
      </c>
      <c r="L10" s="206"/>
      <c r="N10" s="210"/>
      <c r="O10" s="211"/>
      <c r="Q10" s="206"/>
    </row>
    <row r="11" spans="1:17" x14ac:dyDescent="0.25">
      <c r="A11" s="47" t="s">
        <v>60</v>
      </c>
      <c r="B11" s="48">
        <v>2.95</v>
      </c>
      <c r="C11" s="126">
        <f>GFA!C11+2</f>
        <v>2</v>
      </c>
      <c r="D11" s="157">
        <f t="shared" si="0"/>
        <v>21.527799999999999</v>
      </c>
      <c r="E11" s="124">
        <f>GFA!E11+71</f>
        <v>1780</v>
      </c>
      <c r="F11" s="124">
        <f t="shared" si="1"/>
        <v>19159.741999999998</v>
      </c>
      <c r="G11" s="119">
        <f>GFA!G11+27</f>
        <v>788</v>
      </c>
      <c r="H11" s="119">
        <f t="shared" si="2"/>
        <v>8481.9531999999999</v>
      </c>
      <c r="I11" s="55">
        <f t="shared" si="5"/>
        <v>2570</v>
      </c>
      <c r="J11" s="56">
        <f t="shared" si="6"/>
        <v>27663.222999999998</v>
      </c>
      <c r="L11" s="206"/>
      <c r="N11" s="210"/>
      <c r="O11" s="211"/>
      <c r="Q11" s="206"/>
    </row>
    <row r="12" spans="1:17" x14ac:dyDescent="0.25">
      <c r="A12" s="47" t="s">
        <v>59</v>
      </c>
      <c r="B12" s="48">
        <v>2.95</v>
      </c>
      <c r="C12" s="126">
        <f>GFA!C12+2</f>
        <v>2</v>
      </c>
      <c r="D12" s="157">
        <f t="shared" si="0"/>
        <v>21.527799999999999</v>
      </c>
      <c r="E12" s="124">
        <f>GFA!E12+71</f>
        <v>1779</v>
      </c>
      <c r="F12" s="124">
        <f t="shared" si="1"/>
        <v>19148.9781</v>
      </c>
      <c r="G12" s="119">
        <f>GFA!G12+27</f>
        <v>788</v>
      </c>
      <c r="H12" s="119">
        <f t="shared" si="2"/>
        <v>8481.9531999999999</v>
      </c>
      <c r="I12" s="55">
        <f t="shared" si="5"/>
        <v>2569</v>
      </c>
      <c r="J12" s="56">
        <f t="shared" si="6"/>
        <v>27652.4591</v>
      </c>
      <c r="L12" s="206"/>
      <c r="N12" s="210"/>
      <c r="O12" s="211"/>
      <c r="Q12" s="206"/>
    </row>
    <row r="13" spans="1:17" x14ac:dyDescent="0.25">
      <c r="A13" s="47" t="s">
        <v>15</v>
      </c>
      <c r="B13" s="48">
        <v>3.25</v>
      </c>
      <c r="C13" s="126">
        <f>GFA!C13+2</f>
        <v>2</v>
      </c>
      <c r="D13" s="157">
        <f t="shared" si="0"/>
        <v>21.527799999999999</v>
      </c>
      <c r="E13" s="124">
        <f>GFA!E13+71</f>
        <v>2143</v>
      </c>
      <c r="F13" s="124">
        <f t="shared" si="1"/>
        <v>23067.037700000001</v>
      </c>
      <c r="G13" s="119">
        <f>GFA!G13+27</f>
        <v>788</v>
      </c>
      <c r="H13" s="119">
        <f t="shared" si="2"/>
        <v>8481.9531999999999</v>
      </c>
      <c r="I13" s="55">
        <f t="shared" si="5"/>
        <v>2933</v>
      </c>
      <c r="J13" s="56">
        <f t="shared" si="6"/>
        <v>31570.518700000001</v>
      </c>
      <c r="L13" s="206"/>
      <c r="N13" s="210"/>
      <c r="O13" s="211"/>
      <c r="Q13" s="206"/>
    </row>
    <row r="14" spans="1:17" x14ac:dyDescent="0.25">
      <c r="A14" s="47" t="s">
        <v>58</v>
      </c>
      <c r="B14" s="48">
        <v>2.95</v>
      </c>
      <c r="C14" s="126">
        <f>GFA!C14+2</f>
        <v>2</v>
      </c>
      <c r="D14" s="157">
        <f t="shared" si="0"/>
        <v>21.527799999999999</v>
      </c>
      <c r="E14" s="124">
        <f>GFA!E14+71</f>
        <v>2143</v>
      </c>
      <c r="F14" s="124">
        <f t="shared" si="1"/>
        <v>23067.037700000001</v>
      </c>
      <c r="G14" s="119">
        <f>GFA!G14+27</f>
        <v>788</v>
      </c>
      <c r="H14" s="119">
        <f t="shared" si="2"/>
        <v>8481.9531999999999</v>
      </c>
      <c r="I14" s="55">
        <f t="shared" si="5"/>
        <v>2933</v>
      </c>
      <c r="J14" s="56">
        <f t="shared" si="6"/>
        <v>31570.518700000001</v>
      </c>
      <c r="L14" s="206"/>
      <c r="N14" s="210"/>
      <c r="O14" s="211"/>
      <c r="Q14" s="206"/>
    </row>
    <row r="15" spans="1:17" x14ac:dyDescent="0.25">
      <c r="A15" s="47" t="s">
        <v>57</v>
      </c>
      <c r="B15" s="48">
        <v>2.95</v>
      </c>
      <c r="C15" s="126">
        <f>GFA!C15+2</f>
        <v>2</v>
      </c>
      <c r="D15" s="157">
        <f t="shared" si="0"/>
        <v>21.527799999999999</v>
      </c>
      <c r="E15" s="124">
        <f>GFA!E15+71</f>
        <v>2143</v>
      </c>
      <c r="F15" s="124">
        <f t="shared" ref="F15" si="8">E15*10.7639</f>
        <v>23067.037700000001</v>
      </c>
      <c r="G15" s="119">
        <f>GFA!G15+27</f>
        <v>788</v>
      </c>
      <c r="H15" s="119">
        <f t="shared" ref="H15" si="9">G15*10.7639</f>
        <v>8481.9531999999999</v>
      </c>
      <c r="I15" s="55">
        <f t="shared" si="5"/>
        <v>2933</v>
      </c>
      <c r="J15" s="56">
        <f t="shared" si="6"/>
        <v>31570.518700000001</v>
      </c>
      <c r="L15" s="206"/>
      <c r="N15" s="210"/>
      <c r="O15" s="211"/>
      <c r="Q15" s="206"/>
    </row>
    <row r="16" spans="1:17" x14ac:dyDescent="0.25">
      <c r="A16" s="47" t="s">
        <v>56</v>
      </c>
      <c r="B16" s="48">
        <v>2.95</v>
      </c>
      <c r="C16" s="126">
        <f>GFA!C16+2</f>
        <v>2</v>
      </c>
      <c r="D16" s="157">
        <f t="shared" si="0"/>
        <v>21.527799999999999</v>
      </c>
      <c r="E16" s="124">
        <f>GFA!E16+89</f>
        <v>1884</v>
      </c>
      <c r="F16" s="124">
        <f>E16*10.7639</f>
        <v>20279.187599999997</v>
      </c>
      <c r="G16" s="119">
        <f>GFA!G16+27</f>
        <v>788</v>
      </c>
      <c r="H16" s="119">
        <f>G16*10.7639</f>
        <v>8481.9531999999999</v>
      </c>
      <c r="I16" s="55">
        <f t="shared" si="5"/>
        <v>2674</v>
      </c>
      <c r="J16" s="56">
        <f t="shared" si="6"/>
        <v>28782.668599999997</v>
      </c>
      <c r="L16" s="206"/>
      <c r="N16" s="210"/>
      <c r="O16" s="211"/>
      <c r="Q16" s="206"/>
    </row>
    <row r="17" spans="1:17" x14ac:dyDescent="0.25">
      <c r="A17" s="47" t="s">
        <v>8</v>
      </c>
      <c r="B17" s="48">
        <v>2.95</v>
      </c>
      <c r="C17" s="126">
        <f>GFA!C17+2</f>
        <v>2</v>
      </c>
      <c r="D17" s="157">
        <f t="shared" si="0"/>
        <v>21.527799999999999</v>
      </c>
      <c r="E17" s="124">
        <f>GFA!E17+O17+76</f>
        <v>2145</v>
      </c>
      <c r="F17" s="124">
        <f>E17*10.7639</f>
        <v>23088.565500000001</v>
      </c>
      <c r="G17" s="119">
        <f>GFA!G17+27</f>
        <v>788</v>
      </c>
      <c r="H17" s="119">
        <f>G17*10.7639</f>
        <v>8481.9531999999999</v>
      </c>
      <c r="I17" s="55">
        <f t="shared" si="5"/>
        <v>2935</v>
      </c>
      <c r="J17" s="56">
        <f t="shared" si="6"/>
        <v>31592.0465</v>
      </c>
      <c r="L17" s="206"/>
      <c r="N17" s="210"/>
      <c r="O17" s="211">
        <v>242</v>
      </c>
      <c r="Q17" s="206"/>
    </row>
    <row r="18" spans="1:17" x14ac:dyDescent="0.25">
      <c r="A18" s="47" t="s">
        <v>65</v>
      </c>
      <c r="B18" s="139">
        <f>B19/2</f>
        <v>2.8</v>
      </c>
      <c r="C18" s="126">
        <f>GFA!C18+2</f>
        <v>2</v>
      </c>
      <c r="D18" s="157">
        <f>C18*10.7639</f>
        <v>21.527799999999999</v>
      </c>
      <c r="E18" s="124">
        <f>GFA!E18</f>
        <v>145</v>
      </c>
      <c r="F18" s="124">
        <f>E18*10.7639</f>
        <v>1560.7655</v>
      </c>
      <c r="G18" s="119">
        <f>GFA!G18</f>
        <v>90</v>
      </c>
      <c r="H18" s="119">
        <f>G18*10.7639</f>
        <v>968.75099999999998</v>
      </c>
      <c r="I18" s="55">
        <f t="shared" si="5"/>
        <v>237</v>
      </c>
      <c r="J18" s="56">
        <f t="shared" si="6"/>
        <v>2551.0442999999996</v>
      </c>
      <c r="L18" s="206"/>
      <c r="N18" s="210"/>
      <c r="O18" s="211"/>
      <c r="Q18" s="206"/>
    </row>
    <row r="19" spans="1:17" x14ac:dyDescent="0.25">
      <c r="A19" s="51" t="s">
        <v>3</v>
      </c>
      <c r="B19" s="125">
        <v>5.6</v>
      </c>
      <c r="C19" s="126">
        <f>GFA!C19+153</f>
        <v>2871</v>
      </c>
      <c r="D19" s="126">
        <f>C19*10.7639</f>
        <v>30903.156899999998</v>
      </c>
      <c r="E19" s="124">
        <f>GFA!E19+15+56</f>
        <v>749</v>
      </c>
      <c r="F19" s="124">
        <f>E19*10.7639</f>
        <v>8062.1610999999994</v>
      </c>
      <c r="G19" s="119">
        <f>GFA!G19+13</f>
        <v>159</v>
      </c>
      <c r="H19" s="119">
        <f>G19*10.7639</f>
        <v>1711.4601</v>
      </c>
      <c r="I19" s="55">
        <f t="shared" si="5"/>
        <v>3779</v>
      </c>
      <c r="J19" s="56">
        <f t="shared" si="6"/>
        <v>40676.778099999996</v>
      </c>
      <c r="L19" s="206">
        <v>256</v>
      </c>
      <c r="N19" s="210">
        <f>152+208+254</f>
        <v>614</v>
      </c>
      <c r="O19" s="211"/>
      <c r="Q19" s="206"/>
    </row>
    <row r="20" spans="1:17" x14ac:dyDescent="0.25">
      <c r="A20" s="51" t="s">
        <v>4</v>
      </c>
      <c r="B20" s="125">
        <v>4</v>
      </c>
      <c r="C20" s="134"/>
      <c r="D20" s="134"/>
      <c r="E20" s="124">
        <v>0</v>
      </c>
      <c r="F20" s="124">
        <v>0</v>
      </c>
      <c r="G20" s="119">
        <v>0</v>
      </c>
      <c r="H20" s="119">
        <v>0</v>
      </c>
      <c r="I20" s="55">
        <f t="shared" ref="I20" si="10">G20+E20+C20</f>
        <v>0</v>
      </c>
      <c r="J20" s="56">
        <f t="shared" ref="J20" si="11">H20+F20+D20</f>
        <v>0</v>
      </c>
      <c r="L20" s="206"/>
      <c r="N20" s="210"/>
      <c r="O20" s="211"/>
      <c r="Q20" s="206"/>
    </row>
    <row r="21" spans="1:17" x14ac:dyDescent="0.25">
      <c r="A21" s="51" t="s">
        <v>64</v>
      </c>
      <c r="B21" s="125">
        <v>2.8</v>
      </c>
      <c r="C21" s="134"/>
      <c r="D21" s="134"/>
      <c r="E21" s="124">
        <v>0</v>
      </c>
      <c r="F21" s="124">
        <v>0</v>
      </c>
      <c r="G21" s="119">
        <v>0</v>
      </c>
      <c r="H21" s="119">
        <v>0</v>
      </c>
      <c r="I21" s="55">
        <f t="shared" ref="I21:J23" si="12">G21+E21+C21</f>
        <v>0</v>
      </c>
      <c r="J21" s="56">
        <f t="shared" si="12"/>
        <v>0</v>
      </c>
      <c r="L21" s="206"/>
      <c r="N21" s="210"/>
      <c r="O21" s="211"/>
      <c r="Q21" s="206"/>
    </row>
    <row r="22" spans="1:17" x14ac:dyDescent="0.25">
      <c r="A22" s="51" t="s">
        <v>32</v>
      </c>
      <c r="B22" s="125">
        <v>2.8</v>
      </c>
      <c r="C22" s="134"/>
      <c r="D22" s="134"/>
      <c r="E22" s="124">
        <v>0</v>
      </c>
      <c r="F22" s="124">
        <v>0</v>
      </c>
      <c r="G22" s="119">
        <v>0</v>
      </c>
      <c r="H22" s="119">
        <v>0</v>
      </c>
      <c r="I22" s="55">
        <f t="shared" si="12"/>
        <v>0</v>
      </c>
      <c r="J22" s="56">
        <f t="shared" si="12"/>
        <v>0</v>
      </c>
      <c r="L22" s="206"/>
      <c r="N22" s="210"/>
      <c r="O22" s="211"/>
      <c r="Q22" s="206"/>
    </row>
    <row r="23" spans="1:17" x14ac:dyDescent="0.25">
      <c r="A23" s="51" t="s">
        <v>33</v>
      </c>
      <c r="B23" s="125">
        <v>2.8</v>
      </c>
      <c r="C23" s="134"/>
      <c r="D23" s="134"/>
      <c r="E23" s="124">
        <v>0</v>
      </c>
      <c r="F23" s="124">
        <v>0</v>
      </c>
      <c r="G23" s="119">
        <v>0</v>
      </c>
      <c r="H23" s="119">
        <v>0</v>
      </c>
      <c r="I23" s="55">
        <f t="shared" si="12"/>
        <v>0</v>
      </c>
      <c r="J23" s="56">
        <f t="shared" si="12"/>
        <v>0</v>
      </c>
      <c r="L23" s="206"/>
      <c r="N23" s="210"/>
      <c r="O23" s="211"/>
      <c r="Q23" s="206"/>
    </row>
    <row r="24" spans="1:17" ht="15.75" thickBot="1" x14ac:dyDescent="0.3">
      <c r="A24" s="131"/>
      <c r="B24" s="123"/>
      <c r="C24" s="123"/>
      <c r="D24" s="123"/>
      <c r="E24" s="123"/>
      <c r="F24" s="121"/>
      <c r="G24" s="121"/>
      <c r="H24" s="121"/>
      <c r="I24" s="132"/>
      <c r="J24" s="133"/>
      <c r="K24" s="11"/>
      <c r="L24" s="207"/>
      <c r="N24" s="212"/>
      <c r="O24" s="213"/>
      <c r="Q24" s="207"/>
    </row>
    <row r="25" spans="1:17" ht="15.75" thickBot="1" x14ac:dyDescent="0.3">
      <c r="A25" s="127"/>
      <c r="B25" s="128"/>
      <c r="C25" s="128"/>
      <c r="D25" s="128"/>
      <c r="E25" s="128"/>
      <c r="F25" s="129"/>
      <c r="G25" s="129"/>
      <c r="H25" s="129"/>
      <c r="I25" s="130"/>
      <c r="J25" s="130"/>
      <c r="K25" s="11"/>
    </row>
    <row r="26" spans="1:17" x14ac:dyDescent="0.25">
      <c r="A26" s="174" t="s">
        <v>55</v>
      </c>
      <c r="B26" s="175"/>
      <c r="C26" s="180">
        <f>SUM(C5:C19)</f>
        <v>2897</v>
      </c>
      <c r="D26" s="178">
        <f>C26*10.7639</f>
        <v>31183.0183</v>
      </c>
      <c r="E26" s="180">
        <f t="shared" ref="E26" si="13">SUM(E5:E19)</f>
        <v>24390</v>
      </c>
      <c r="F26" s="178">
        <f>E26*10.7639</f>
        <v>262531.52100000001</v>
      </c>
      <c r="G26" s="180">
        <f>SUM(G5:G19)</f>
        <v>7197</v>
      </c>
      <c r="H26" s="178">
        <f>G26*10.7639</f>
        <v>77467.7883</v>
      </c>
      <c r="I26" s="178">
        <f>SUM(I5:I19)</f>
        <v>34484</v>
      </c>
      <c r="J26" s="178">
        <f>I26*10.7639</f>
        <v>371182.32759999996</v>
      </c>
      <c r="K26" s="11"/>
    </row>
    <row r="27" spans="1:17" ht="15.75" thickBot="1" x14ac:dyDescent="0.3">
      <c r="A27" s="176"/>
      <c r="B27" s="177"/>
      <c r="C27" s="181"/>
      <c r="D27" s="179"/>
      <c r="E27" s="181"/>
      <c r="F27" s="179"/>
      <c r="G27" s="181"/>
      <c r="H27" s="179"/>
      <c r="I27" s="179"/>
      <c r="J27" s="179"/>
      <c r="K27" s="11"/>
    </row>
    <row r="28" spans="1:17" x14ac:dyDescent="0.25">
      <c r="A28" s="127"/>
      <c r="B28" s="128"/>
      <c r="C28" s="128"/>
      <c r="D28" s="128"/>
      <c r="E28" s="128"/>
      <c r="F28" s="129"/>
      <c r="G28" s="129"/>
      <c r="H28" s="129"/>
      <c r="I28" s="130"/>
      <c r="J28" s="130"/>
      <c r="K28" s="11"/>
    </row>
    <row r="29" spans="1:17" ht="15.75" thickBot="1" x14ac:dyDescent="0.3">
      <c r="K29" s="11"/>
    </row>
    <row r="30" spans="1:17" ht="29.25" customHeight="1" thickBot="1" x14ac:dyDescent="0.3">
      <c r="A30" s="163" t="s">
        <v>85</v>
      </c>
      <c r="B30" s="164"/>
      <c r="C30" s="164"/>
      <c r="D30" s="164"/>
      <c r="E30" s="164"/>
      <c r="F30" s="164"/>
      <c r="G30" s="164"/>
      <c r="H30" s="165"/>
      <c r="I30" s="57">
        <f>SUM(I5:I19)</f>
        <v>34484</v>
      </c>
      <c r="J30" s="57">
        <f>SUM(J5:J19)</f>
        <v>371182.32760000002</v>
      </c>
    </row>
    <row r="31" spans="1:17" x14ac:dyDescent="0.25">
      <c r="A31" s="158"/>
      <c r="B31" s="158"/>
      <c r="C31" s="158"/>
      <c r="D31" s="158"/>
      <c r="E31" s="13"/>
      <c r="F31" s="158"/>
      <c r="G31" s="158"/>
      <c r="H31" s="158"/>
      <c r="I31" s="158"/>
      <c r="J31" s="158"/>
    </row>
    <row r="32" spans="1:17" x14ac:dyDescent="0.25">
      <c r="A32" s="151"/>
      <c r="B32" s="151"/>
      <c r="C32" s="151"/>
      <c r="D32" s="151"/>
      <c r="E32" s="151"/>
      <c r="F32" s="151"/>
      <c r="G32" s="151"/>
      <c r="H32" s="151"/>
      <c r="I32" s="151"/>
      <c r="J32" s="151"/>
    </row>
    <row r="33" spans="1:11" x14ac:dyDescent="0.25">
      <c r="B33" s="153"/>
      <c r="D33" s="151"/>
      <c r="E33" s="151"/>
      <c r="F33" s="151"/>
      <c r="G33" s="151"/>
      <c r="H33" s="151"/>
      <c r="I33" s="151"/>
      <c r="J33" s="9"/>
    </row>
    <row r="34" spans="1:11" ht="15" customHeight="1" x14ac:dyDescent="0.25">
      <c r="F34" s="152"/>
      <c r="G34" s="152"/>
      <c r="H34" s="152"/>
      <c r="I34" s="152"/>
      <c r="J34" s="10"/>
    </row>
    <row r="35" spans="1:11" x14ac:dyDescent="0.25">
      <c r="K35" t="s">
        <v>23</v>
      </c>
    </row>
    <row r="36" spans="1:11" ht="15" hidden="1" customHeight="1" x14ac:dyDescent="0.25"/>
    <row r="37" spans="1:11" ht="15" hidden="1" customHeight="1" x14ac:dyDescent="0.25">
      <c r="A37" t="s">
        <v>11</v>
      </c>
      <c r="D37">
        <v>1000000</v>
      </c>
    </row>
    <row r="38" spans="1:11" ht="15" hidden="1" customHeight="1" x14ac:dyDescent="0.25">
      <c r="A38" t="s">
        <v>12</v>
      </c>
      <c r="D38">
        <v>10.763999999999999</v>
      </c>
    </row>
    <row r="39" spans="1:11" ht="15" hidden="1" customHeight="1" x14ac:dyDescent="0.25"/>
    <row r="42" spans="1:11" x14ac:dyDescent="0.25">
      <c r="E42" t="s">
        <v>54</v>
      </c>
    </row>
    <row r="48" spans="1:11" x14ac:dyDescent="0.25">
      <c r="F48" s="11"/>
      <c r="G48" s="11"/>
      <c r="H48" s="11"/>
      <c r="I48" s="11"/>
      <c r="J48" s="11"/>
    </row>
  </sheetData>
  <mergeCells count="20">
    <mergeCell ref="H26:H27"/>
    <mergeCell ref="I26:I27"/>
    <mergeCell ref="E26:E27"/>
    <mergeCell ref="J26:J27"/>
    <mergeCell ref="F31:J31"/>
    <mergeCell ref="A1:J1"/>
    <mergeCell ref="A3:A4"/>
    <mergeCell ref="A30:H30"/>
    <mergeCell ref="B3:B4"/>
    <mergeCell ref="J3:J4"/>
    <mergeCell ref="I3:I4"/>
    <mergeCell ref="C3:D3"/>
    <mergeCell ref="E3:F3"/>
    <mergeCell ref="G3:H3"/>
    <mergeCell ref="A26:B27"/>
    <mergeCell ref="D26:D27"/>
    <mergeCell ref="C26:C27"/>
    <mergeCell ref="A31:D31"/>
    <mergeCell ref="F26:F27"/>
    <mergeCell ref="G26:G27"/>
  </mergeCells>
  <printOptions horizontalCentered="1" verticalCentered="1"/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view="pageBreakPreview" zoomScale="80" zoomScaleNormal="80" zoomScaleSheetLayoutView="80" workbookViewId="0">
      <selection activeCell="E8" sqref="E8"/>
    </sheetView>
  </sheetViews>
  <sheetFormatPr defaultRowHeight="15" x14ac:dyDescent="0.25"/>
  <cols>
    <col min="1" max="1" width="26.42578125" customWidth="1"/>
    <col min="2" max="2" width="12.85546875" customWidth="1"/>
    <col min="3" max="3" width="9.285156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0.28515625" customWidth="1"/>
    <col min="9" max="9" width="16.85546875" customWidth="1"/>
    <col min="10" max="10" width="16.7109375" customWidth="1"/>
    <col min="11" max="11" width="4.28515625" customWidth="1"/>
    <col min="12" max="12" width="20.7109375" customWidth="1"/>
    <col min="13" max="13" width="20.140625" customWidth="1"/>
  </cols>
  <sheetData>
    <row r="1" spans="1:13" ht="26.25" x14ac:dyDescent="0.4">
      <c r="A1" s="159" t="s">
        <v>87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3" ht="15.75" thickBot="1" x14ac:dyDescent="0.3"/>
    <row r="3" spans="1:13" ht="15" customHeight="1" thickBot="1" x14ac:dyDescent="0.3">
      <c r="A3" s="161" t="s">
        <v>0</v>
      </c>
      <c r="B3" s="166" t="s">
        <v>1</v>
      </c>
      <c r="C3" s="172" t="s">
        <v>22</v>
      </c>
      <c r="D3" s="173"/>
      <c r="E3" s="172" t="s">
        <v>18</v>
      </c>
      <c r="F3" s="173"/>
      <c r="G3" s="172" t="s">
        <v>20</v>
      </c>
      <c r="H3" s="173"/>
      <c r="I3" s="170" t="s">
        <v>19</v>
      </c>
      <c r="J3" s="168" t="s">
        <v>7</v>
      </c>
    </row>
    <row r="4" spans="1:13" ht="15.75" customHeight="1" thickBot="1" x14ac:dyDescent="0.3">
      <c r="A4" s="162"/>
      <c r="B4" s="167"/>
      <c r="C4" s="52" t="s">
        <v>26</v>
      </c>
      <c r="D4" s="53" t="s">
        <v>27</v>
      </c>
      <c r="E4" s="52" t="s">
        <v>26</v>
      </c>
      <c r="F4" s="53" t="s">
        <v>27</v>
      </c>
      <c r="G4" s="52" t="s">
        <v>26</v>
      </c>
      <c r="H4" s="53" t="s">
        <v>27</v>
      </c>
      <c r="I4" s="171"/>
      <c r="J4" s="169"/>
      <c r="L4" s="182" t="s">
        <v>66</v>
      </c>
      <c r="M4" s="168" t="s">
        <v>67</v>
      </c>
    </row>
    <row r="5" spans="1:13" ht="15.75" thickBot="1" x14ac:dyDescent="0.3">
      <c r="A5" s="47"/>
      <c r="J5" s="54"/>
      <c r="L5" s="183"/>
      <c r="M5" s="169"/>
    </row>
    <row r="6" spans="1:13" x14ac:dyDescent="0.25">
      <c r="A6" s="47" t="s">
        <v>84</v>
      </c>
      <c r="B6" s="48">
        <v>5.2</v>
      </c>
      <c r="C6" s="49">
        <v>0</v>
      </c>
      <c r="D6" s="120">
        <f t="shared" ref="D6:D15" si="0">C6*10.7639</f>
        <v>0</v>
      </c>
      <c r="E6" s="124">
        <v>378</v>
      </c>
      <c r="F6" s="124">
        <f t="shared" ref="F6:F15" si="1">E6*10.7639</f>
        <v>4068.7541999999999</v>
      </c>
      <c r="G6" s="119">
        <v>49</v>
      </c>
      <c r="H6" s="119">
        <f t="shared" ref="H6:H15" si="2">G6*10.7639</f>
        <v>527.43110000000001</v>
      </c>
      <c r="I6" s="55">
        <f>C6+E6+G6</f>
        <v>427</v>
      </c>
      <c r="J6" s="148">
        <f>H6+F6+D6</f>
        <v>4596.1853000000001</v>
      </c>
      <c r="L6" s="149">
        <v>344.3</v>
      </c>
      <c r="M6" s="148">
        <f t="shared" ref="M6" si="3">L6*10.7639</f>
        <v>3706.0107699999999</v>
      </c>
    </row>
    <row r="7" spans="1:13" x14ac:dyDescent="0.25">
      <c r="A7" s="47" t="s">
        <v>83</v>
      </c>
      <c r="B7" s="48">
        <v>3.9</v>
      </c>
      <c r="C7" s="49"/>
      <c r="D7" s="120"/>
      <c r="E7" s="124">
        <v>2111</v>
      </c>
      <c r="F7" s="124">
        <f t="shared" si="1"/>
        <v>22722.5929</v>
      </c>
      <c r="G7" s="119">
        <v>0</v>
      </c>
      <c r="H7" s="119">
        <f t="shared" si="2"/>
        <v>0</v>
      </c>
      <c r="I7" s="55">
        <f t="shared" ref="I7:I19" si="4">C7+E7+G7</f>
        <v>2111</v>
      </c>
      <c r="J7" s="148">
        <f>H7+F7+D7</f>
        <v>22722.5929</v>
      </c>
      <c r="L7" s="149">
        <v>1936</v>
      </c>
      <c r="M7" s="148">
        <f>L7*10.7639</f>
        <v>20838.910400000001</v>
      </c>
    </row>
    <row r="8" spans="1:13" x14ac:dyDescent="0.25">
      <c r="A8" s="47" t="s">
        <v>63</v>
      </c>
      <c r="B8" s="48">
        <v>3.25</v>
      </c>
      <c r="C8" s="49">
        <v>0</v>
      </c>
      <c r="D8" s="120">
        <f t="shared" si="0"/>
        <v>0</v>
      </c>
      <c r="E8" s="124">
        <v>2111</v>
      </c>
      <c r="F8" s="124">
        <f t="shared" si="1"/>
        <v>22722.5929</v>
      </c>
      <c r="G8" s="119">
        <v>0</v>
      </c>
      <c r="H8" s="119">
        <f t="shared" si="2"/>
        <v>0</v>
      </c>
      <c r="I8" s="55">
        <f t="shared" si="4"/>
        <v>2111</v>
      </c>
      <c r="J8" s="148">
        <f t="shared" ref="J8:J20" si="5">H8+F8+D8</f>
        <v>22722.5929</v>
      </c>
      <c r="L8" s="149">
        <v>1852</v>
      </c>
      <c r="M8" s="148">
        <f>L8*10.7639</f>
        <v>19934.7428</v>
      </c>
    </row>
    <row r="9" spans="1:13" x14ac:dyDescent="0.25">
      <c r="A9" s="47" t="s">
        <v>68</v>
      </c>
      <c r="B9" s="48">
        <v>3.25</v>
      </c>
      <c r="C9" s="49">
        <v>0</v>
      </c>
      <c r="D9" s="120">
        <f t="shared" si="0"/>
        <v>0</v>
      </c>
      <c r="E9" s="124">
        <v>2471</v>
      </c>
      <c r="F9" s="124">
        <f t="shared" si="1"/>
        <v>26597.5969</v>
      </c>
      <c r="G9" s="119">
        <v>0</v>
      </c>
      <c r="H9" s="119">
        <f t="shared" si="2"/>
        <v>0</v>
      </c>
      <c r="I9" s="55">
        <f t="shared" si="4"/>
        <v>2471</v>
      </c>
      <c r="J9" s="148">
        <f t="shared" si="5"/>
        <v>26597.5969</v>
      </c>
      <c r="L9" s="149">
        <v>2156.4</v>
      </c>
      <c r="M9" s="150">
        <f t="shared" ref="M9:M19" si="6">L9*10.7639</f>
        <v>23211.273959999999</v>
      </c>
    </row>
    <row r="10" spans="1:13" x14ac:dyDescent="0.25">
      <c r="A10" s="47" t="s">
        <v>61</v>
      </c>
      <c r="B10" s="48">
        <v>3.25</v>
      </c>
      <c r="C10" s="49">
        <v>0</v>
      </c>
      <c r="D10" s="120">
        <f t="shared" si="0"/>
        <v>0</v>
      </c>
      <c r="E10" s="124">
        <v>1709</v>
      </c>
      <c r="F10" s="124">
        <f t="shared" ref="F10" si="7">E10*10.7639</f>
        <v>18395.505099999998</v>
      </c>
      <c r="G10" s="119">
        <v>761</v>
      </c>
      <c r="H10" s="119">
        <f t="shared" ref="H10" si="8">G10*10.7639</f>
        <v>8191.3278999999993</v>
      </c>
      <c r="I10" s="55">
        <f t="shared" ref="I10" si="9">C10+E10+G10</f>
        <v>2470</v>
      </c>
      <c r="J10" s="148">
        <f>H10+F10+D10</f>
        <v>26586.832999999999</v>
      </c>
      <c r="L10" s="149">
        <v>1476.2</v>
      </c>
      <c r="M10" s="150">
        <f t="shared" si="6"/>
        <v>15889.669179999999</v>
      </c>
    </row>
    <row r="11" spans="1:13" x14ac:dyDescent="0.25">
      <c r="A11" s="47" t="s">
        <v>60</v>
      </c>
      <c r="B11" s="48">
        <v>2.95</v>
      </c>
      <c r="C11" s="49">
        <v>0</v>
      </c>
      <c r="D11" s="120">
        <f t="shared" si="0"/>
        <v>0</v>
      </c>
      <c r="E11" s="124">
        <v>1709</v>
      </c>
      <c r="F11" s="124">
        <f t="shared" si="1"/>
        <v>18395.505099999998</v>
      </c>
      <c r="G11" s="119">
        <v>761</v>
      </c>
      <c r="H11" s="119">
        <f t="shared" si="2"/>
        <v>8191.3278999999993</v>
      </c>
      <c r="I11" s="55">
        <f t="shared" si="4"/>
        <v>2470</v>
      </c>
      <c r="J11" s="148">
        <f>H11+F11+D11</f>
        <v>26586.832999999999</v>
      </c>
      <c r="L11" s="149">
        <v>1476.2</v>
      </c>
      <c r="M11" s="150">
        <f t="shared" si="6"/>
        <v>15889.669179999999</v>
      </c>
    </row>
    <row r="12" spans="1:13" x14ac:dyDescent="0.25">
      <c r="A12" s="47" t="s">
        <v>59</v>
      </c>
      <c r="B12" s="48">
        <v>2.95</v>
      </c>
      <c r="C12" s="49">
        <v>0</v>
      </c>
      <c r="D12" s="120">
        <f t="shared" si="0"/>
        <v>0</v>
      </c>
      <c r="E12" s="124">
        <v>1708</v>
      </c>
      <c r="F12" s="124">
        <f t="shared" si="1"/>
        <v>18384.7412</v>
      </c>
      <c r="G12" s="119">
        <v>761</v>
      </c>
      <c r="H12" s="119">
        <f t="shared" si="2"/>
        <v>8191.3278999999993</v>
      </c>
      <c r="I12" s="55">
        <f t="shared" si="4"/>
        <v>2469</v>
      </c>
      <c r="J12" s="148">
        <f>H12+F12+D12</f>
        <v>26576.069100000001</v>
      </c>
      <c r="L12" s="149">
        <v>1471</v>
      </c>
      <c r="M12" s="150">
        <f t="shared" si="6"/>
        <v>15833.696899999999</v>
      </c>
    </row>
    <row r="13" spans="1:13" x14ac:dyDescent="0.25">
      <c r="A13" s="47" t="s">
        <v>15</v>
      </c>
      <c r="B13" s="48">
        <v>3.25</v>
      </c>
      <c r="C13" s="49">
        <v>0</v>
      </c>
      <c r="D13" s="120">
        <f t="shared" si="0"/>
        <v>0</v>
      </c>
      <c r="E13" s="124">
        <v>2072</v>
      </c>
      <c r="F13" s="124">
        <f t="shared" si="1"/>
        <v>22302.800800000001</v>
      </c>
      <c r="G13" s="119">
        <v>761</v>
      </c>
      <c r="H13" s="119">
        <f t="shared" si="2"/>
        <v>8191.3278999999993</v>
      </c>
      <c r="I13" s="55">
        <f t="shared" si="4"/>
        <v>2833</v>
      </c>
      <c r="J13" s="148">
        <f t="shared" si="5"/>
        <v>30494.128700000001</v>
      </c>
      <c r="L13" s="149">
        <v>1810</v>
      </c>
      <c r="M13" s="148">
        <f t="shared" si="6"/>
        <v>19482.659</v>
      </c>
    </row>
    <row r="14" spans="1:13" x14ac:dyDescent="0.25">
      <c r="A14" s="47" t="s">
        <v>58</v>
      </c>
      <c r="B14" s="48">
        <v>2.95</v>
      </c>
      <c r="C14" s="49">
        <v>0</v>
      </c>
      <c r="D14" s="120">
        <f t="shared" si="0"/>
        <v>0</v>
      </c>
      <c r="E14" s="124">
        <v>2072</v>
      </c>
      <c r="F14" s="124">
        <f t="shared" ref="F14" si="10">E14*10.7639</f>
        <v>22302.800800000001</v>
      </c>
      <c r="G14" s="119">
        <v>761</v>
      </c>
      <c r="H14" s="119">
        <f t="shared" ref="H14" si="11">G14*10.7639</f>
        <v>8191.3278999999993</v>
      </c>
      <c r="I14" s="55">
        <f t="shared" ref="I14" si="12">C14+E14+G14</f>
        <v>2833</v>
      </c>
      <c r="J14" s="148">
        <f t="shared" ref="J14" si="13">H14+F14+D14</f>
        <v>30494.128700000001</v>
      </c>
      <c r="L14" s="149">
        <v>1813.5</v>
      </c>
      <c r="M14" s="150">
        <f t="shared" si="6"/>
        <v>19520.33265</v>
      </c>
    </row>
    <row r="15" spans="1:13" x14ac:dyDescent="0.25">
      <c r="A15" s="47" t="s">
        <v>57</v>
      </c>
      <c r="B15" s="48">
        <v>2.95</v>
      </c>
      <c r="C15" s="49">
        <v>0</v>
      </c>
      <c r="D15" s="120">
        <f t="shared" si="0"/>
        <v>0</v>
      </c>
      <c r="E15" s="124">
        <v>2072</v>
      </c>
      <c r="F15" s="124">
        <f t="shared" si="1"/>
        <v>22302.800800000001</v>
      </c>
      <c r="G15" s="119">
        <v>761</v>
      </c>
      <c r="H15" s="119">
        <f t="shared" si="2"/>
        <v>8191.3278999999993</v>
      </c>
      <c r="I15" s="55">
        <f t="shared" si="4"/>
        <v>2833</v>
      </c>
      <c r="J15" s="148">
        <f t="shared" si="5"/>
        <v>30494.128700000001</v>
      </c>
      <c r="L15" s="149">
        <v>1813.5</v>
      </c>
      <c r="M15" s="150">
        <f t="shared" si="6"/>
        <v>19520.33265</v>
      </c>
    </row>
    <row r="16" spans="1:13" x14ac:dyDescent="0.25">
      <c r="A16" s="47" t="s">
        <v>56</v>
      </c>
      <c r="B16" s="48">
        <v>2.95</v>
      </c>
      <c r="C16" s="49">
        <v>0</v>
      </c>
      <c r="D16" s="120">
        <f>C16*10.7639</f>
        <v>0</v>
      </c>
      <c r="E16" s="124">
        <v>1795</v>
      </c>
      <c r="F16" s="124">
        <f>E16*10.7639</f>
        <v>19321.200499999999</v>
      </c>
      <c r="G16" s="119">
        <v>761</v>
      </c>
      <c r="H16" s="119">
        <f>G16*10.7639</f>
        <v>8191.3278999999993</v>
      </c>
      <c r="I16" s="55">
        <f t="shared" si="4"/>
        <v>2556</v>
      </c>
      <c r="J16" s="148">
        <f t="shared" si="5"/>
        <v>27512.528399999999</v>
      </c>
      <c r="L16" s="149">
        <v>1550.8</v>
      </c>
      <c r="M16" s="148">
        <f t="shared" si="6"/>
        <v>16692.65612</v>
      </c>
    </row>
    <row r="17" spans="1:13" x14ac:dyDescent="0.25">
      <c r="A17" s="47" t="s">
        <v>8</v>
      </c>
      <c r="B17" s="48">
        <v>2.95</v>
      </c>
      <c r="C17" s="122">
        <v>0</v>
      </c>
      <c r="D17" s="120">
        <f>C17*10.7639</f>
        <v>0</v>
      </c>
      <c r="E17" s="124">
        <v>1827</v>
      </c>
      <c r="F17" s="124">
        <f>E17*10.7639</f>
        <v>19665.6453</v>
      </c>
      <c r="G17" s="119">
        <v>761</v>
      </c>
      <c r="H17" s="119">
        <f>G17*10.7639</f>
        <v>8191.3278999999993</v>
      </c>
      <c r="I17" s="55">
        <f t="shared" si="4"/>
        <v>2588</v>
      </c>
      <c r="J17" s="148">
        <f t="shared" si="5"/>
        <v>27856.9732</v>
      </c>
      <c r="L17" s="149">
        <v>1473.8</v>
      </c>
      <c r="M17" s="150">
        <f t="shared" si="6"/>
        <v>15863.835819999998</v>
      </c>
    </row>
    <row r="18" spans="1:13" x14ac:dyDescent="0.25">
      <c r="A18" s="47" t="s">
        <v>65</v>
      </c>
      <c r="B18" s="139">
        <f>B19/2</f>
        <v>2.8</v>
      </c>
      <c r="C18" s="122">
        <v>0</v>
      </c>
      <c r="D18" s="120">
        <f>C18*10.7639</f>
        <v>0</v>
      </c>
      <c r="E18" s="124">
        <v>145</v>
      </c>
      <c r="F18" s="124">
        <f>E18*10.7639</f>
        <v>1560.7655</v>
      </c>
      <c r="G18" s="119">
        <v>90</v>
      </c>
      <c r="H18" s="119">
        <f>G18*10.7639</f>
        <v>968.75099999999998</v>
      </c>
      <c r="I18" s="55">
        <f t="shared" si="4"/>
        <v>235</v>
      </c>
      <c r="J18" s="148">
        <f t="shared" si="5"/>
        <v>2529.5164999999997</v>
      </c>
      <c r="L18" s="142"/>
      <c r="M18" s="143">
        <f t="shared" si="6"/>
        <v>0</v>
      </c>
    </row>
    <row r="19" spans="1:13" x14ac:dyDescent="0.25">
      <c r="A19" s="51" t="s">
        <v>3</v>
      </c>
      <c r="B19" s="125">
        <v>5.6</v>
      </c>
      <c r="C19" s="126">
        <v>2718</v>
      </c>
      <c r="D19" s="126">
        <f>C19*10.7639</f>
        <v>29256.280199999997</v>
      </c>
      <c r="E19" s="124">
        <v>678</v>
      </c>
      <c r="F19" s="124">
        <f>E19*10.7639</f>
        <v>7297.9241999999995</v>
      </c>
      <c r="G19" s="119">
        <v>146</v>
      </c>
      <c r="H19" s="119">
        <f>G19*10.7639</f>
        <v>1571.5293999999999</v>
      </c>
      <c r="I19" s="55">
        <f t="shared" si="4"/>
        <v>3542</v>
      </c>
      <c r="J19" s="148">
        <f t="shared" si="5"/>
        <v>38125.733799999995</v>
      </c>
      <c r="L19" s="141"/>
      <c r="M19" s="143">
        <f t="shared" si="6"/>
        <v>0</v>
      </c>
    </row>
    <row r="20" spans="1:13" x14ac:dyDescent="0.25">
      <c r="A20" s="51" t="s">
        <v>4</v>
      </c>
      <c r="B20" s="125">
        <v>4</v>
      </c>
      <c r="C20" s="134"/>
      <c r="D20" s="134"/>
      <c r="E20" s="124">
        <v>0</v>
      </c>
      <c r="F20" s="124">
        <v>0</v>
      </c>
      <c r="G20" s="119">
        <v>0</v>
      </c>
      <c r="H20" s="119">
        <v>0</v>
      </c>
      <c r="I20" s="55">
        <f t="shared" ref="I20:J23" si="14">G20+E20+C20</f>
        <v>0</v>
      </c>
      <c r="J20" s="56">
        <f t="shared" si="5"/>
        <v>0</v>
      </c>
      <c r="L20" s="144"/>
      <c r="M20" s="146"/>
    </row>
    <row r="21" spans="1:13" ht="15.75" thickBot="1" x14ac:dyDescent="0.3">
      <c r="A21" s="51" t="s">
        <v>64</v>
      </c>
      <c r="B21" s="125">
        <v>2.8</v>
      </c>
      <c r="C21" s="134"/>
      <c r="D21" s="134"/>
      <c r="E21" s="124">
        <v>0</v>
      </c>
      <c r="F21" s="124">
        <v>0</v>
      </c>
      <c r="G21" s="119">
        <v>0</v>
      </c>
      <c r="H21" s="119">
        <v>0</v>
      </c>
      <c r="I21" s="55">
        <f t="shared" si="14"/>
        <v>0</v>
      </c>
      <c r="J21" s="56">
        <f t="shared" si="14"/>
        <v>0</v>
      </c>
      <c r="L21" s="145"/>
      <c r="M21" s="147"/>
    </row>
    <row r="22" spans="1:13" ht="15.75" thickBot="1" x14ac:dyDescent="0.3">
      <c r="A22" s="51" t="s">
        <v>32</v>
      </c>
      <c r="B22" s="125">
        <v>2.8</v>
      </c>
      <c r="C22" s="134"/>
      <c r="D22" s="134"/>
      <c r="E22" s="124">
        <v>0</v>
      </c>
      <c r="F22" s="124">
        <v>0</v>
      </c>
      <c r="G22" s="119">
        <v>0</v>
      </c>
      <c r="H22" s="119">
        <v>0</v>
      </c>
      <c r="I22" s="55">
        <f t="shared" si="14"/>
        <v>0</v>
      </c>
      <c r="J22" s="56">
        <f t="shared" si="14"/>
        <v>0</v>
      </c>
      <c r="L22" s="140">
        <f>SUM(L6:L19)</f>
        <v>19173.7</v>
      </c>
      <c r="M22" s="140">
        <f>SUM(M6:M19)</f>
        <v>206383.78942999998</v>
      </c>
    </row>
    <row r="23" spans="1:13" x14ac:dyDescent="0.25">
      <c r="A23" s="51" t="s">
        <v>33</v>
      </c>
      <c r="B23" s="125">
        <v>2.8</v>
      </c>
      <c r="C23" s="134"/>
      <c r="D23" s="134"/>
      <c r="E23" s="124">
        <v>0</v>
      </c>
      <c r="F23" s="124">
        <v>0</v>
      </c>
      <c r="G23" s="119">
        <v>0</v>
      </c>
      <c r="H23" s="119">
        <v>0</v>
      </c>
      <c r="I23" s="55">
        <f t="shared" si="14"/>
        <v>0</v>
      </c>
      <c r="J23" s="56">
        <f t="shared" si="14"/>
        <v>0</v>
      </c>
    </row>
    <row r="24" spans="1:13" ht="15.75" thickBot="1" x14ac:dyDescent="0.3">
      <c r="A24" s="131"/>
      <c r="B24" s="123"/>
      <c r="C24" s="123"/>
      <c r="D24" s="123"/>
      <c r="E24" s="123"/>
      <c r="F24" s="121"/>
      <c r="G24" s="121"/>
      <c r="H24" s="121"/>
      <c r="I24" s="132"/>
      <c r="J24" s="133"/>
      <c r="K24" s="11"/>
    </row>
    <row r="25" spans="1:13" ht="15.75" thickBot="1" x14ac:dyDescent="0.3">
      <c r="A25" s="127"/>
      <c r="B25" s="128"/>
      <c r="C25" s="128"/>
      <c r="D25" s="128"/>
      <c r="E25" s="128"/>
      <c r="F25" s="129"/>
      <c r="G25" s="129"/>
      <c r="H25" s="129"/>
      <c r="I25" s="130"/>
      <c r="J25" s="130"/>
      <c r="K25" s="11"/>
    </row>
    <row r="26" spans="1:13" x14ac:dyDescent="0.25">
      <c r="A26" s="174" t="s">
        <v>55</v>
      </c>
      <c r="B26" s="175"/>
      <c r="C26" s="180">
        <f>SUM(C5:C19)</f>
        <v>2718</v>
      </c>
      <c r="D26" s="178">
        <f>C26*10.7639</f>
        <v>29256.280199999997</v>
      </c>
      <c r="E26" s="180">
        <f t="shared" ref="E26" si="15">SUM(E5:E19)</f>
        <v>22858</v>
      </c>
      <c r="F26" s="178">
        <f>E26*10.7639</f>
        <v>246041.2262</v>
      </c>
      <c r="G26" s="180">
        <f>SUM(G5:G19)</f>
        <v>6373</v>
      </c>
      <c r="H26" s="178">
        <f>G26*10.7639</f>
        <v>68598.334699999992</v>
      </c>
      <c r="I26" s="178">
        <f>SUM(I5:I19)</f>
        <v>31949</v>
      </c>
      <c r="J26" s="178">
        <f>I26*10.7639</f>
        <v>343895.84109999996</v>
      </c>
      <c r="K26" s="11"/>
    </row>
    <row r="27" spans="1:13" ht="15.75" thickBot="1" x14ac:dyDescent="0.3">
      <c r="A27" s="176"/>
      <c r="B27" s="177"/>
      <c r="C27" s="181"/>
      <c r="D27" s="179"/>
      <c r="E27" s="181"/>
      <c r="F27" s="179"/>
      <c r="G27" s="181"/>
      <c r="H27" s="179"/>
      <c r="I27" s="179"/>
      <c r="J27" s="179"/>
      <c r="K27" s="11"/>
    </row>
    <row r="28" spans="1:13" x14ac:dyDescent="0.25">
      <c r="A28" s="127"/>
      <c r="B28" s="128"/>
      <c r="C28" s="128"/>
      <c r="D28" s="128"/>
      <c r="E28" s="128"/>
      <c r="F28" s="129"/>
      <c r="G28" s="129"/>
      <c r="H28" s="129"/>
      <c r="I28" s="130"/>
      <c r="J28" s="130"/>
      <c r="K28" s="11"/>
    </row>
    <row r="29" spans="1:13" ht="15.75" thickBot="1" x14ac:dyDescent="0.3">
      <c r="K29" s="11"/>
    </row>
    <row r="30" spans="1:13" ht="29.25" customHeight="1" thickBot="1" x14ac:dyDescent="0.3">
      <c r="A30" s="163" t="s">
        <v>28</v>
      </c>
      <c r="B30" s="164"/>
      <c r="C30" s="164"/>
      <c r="D30" s="164"/>
      <c r="E30" s="164"/>
      <c r="F30" s="164"/>
      <c r="G30" s="164"/>
      <c r="H30" s="165"/>
      <c r="I30" s="57">
        <f>SUM(I5:I19)</f>
        <v>31949</v>
      </c>
      <c r="J30" s="57">
        <f>SUM(J5:J19)</f>
        <v>343895.84110000002</v>
      </c>
    </row>
    <row r="31" spans="1:13" x14ac:dyDescent="0.25">
      <c r="A31" s="158"/>
      <c r="B31" s="158"/>
      <c r="C31" s="158"/>
      <c r="D31" s="158"/>
      <c r="E31" s="155"/>
      <c r="F31" s="158"/>
      <c r="G31" s="158"/>
      <c r="H31" s="158"/>
      <c r="I31" s="158"/>
      <c r="J31" s="158"/>
    </row>
    <row r="32" spans="1:13" x14ac:dyDescent="0.25">
      <c r="A32" s="155"/>
      <c r="B32" s="155"/>
      <c r="C32" s="155"/>
      <c r="D32" s="155"/>
      <c r="E32" s="155"/>
      <c r="F32" s="155"/>
      <c r="G32" s="155"/>
      <c r="H32" s="155"/>
      <c r="I32" s="155"/>
      <c r="J32" s="155"/>
    </row>
    <row r="33" spans="1:11" x14ac:dyDescent="0.25">
      <c r="B33" s="153"/>
      <c r="D33" s="155"/>
      <c r="E33" s="155"/>
      <c r="F33" s="155"/>
      <c r="G33" s="155"/>
      <c r="H33" s="155"/>
      <c r="I33" s="155"/>
      <c r="J33" s="9"/>
    </row>
    <row r="34" spans="1:11" ht="15" customHeight="1" x14ac:dyDescent="0.25">
      <c r="F34" s="156"/>
      <c r="G34" s="156"/>
      <c r="H34" s="156"/>
      <c r="I34" s="156"/>
      <c r="J34" s="10"/>
    </row>
    <row r="35" spans="1:11" x14ac:dyDescent="0.25">
      <c r="K35" t="s">
        <v>23</v>
      </c>
    </row>
    <row r="36" spans="1:11" ht="15" hidden="1" customHeight="1" x14ac:dyDescent="0.25"/>
    <row r="37" spans="1:11" ht="15" hidden="1" customHeight="1" x14ac:dyDescent="0.25">
      <c r="A37" t="s">
        <v>11</v>
      </c>
      <c r="D37">
        <v>1000000</v>
      </c>
    </row>
    <row r="38" spans="1:11" ht="15" hidden="1" customHeight="1" x14ac:dyDescent="0.25">
      <c r="A38" t="s">
        <v>12</v>
      </c>
      <c r="D38">
        <v>10.763999999999999</v>
      </c>
    </row>
    <row r="39" spans="1:11" ht="15" hidden="1" customHeight="1" x14ac:dyDescent="0.25"/>
    <row r="42" spans="1:11" x14ac:dyDescent="0.25">
      <c r="E42" t="s">
        <v>54</v>
      </c>
    </row>
    <row r="48" spans="1:11" x14ac:dyDescent="0.25">
      <c r="F48" s="11"/>
      <c r="G48" s="11"/>
      <c r="H48" s="11"/>
      <c r="I48" s="11"/>
      <c r="J48" s="11"/>
    </row>
  </sheetData>
  <mergeCells count="22">
    <mergeCell ref="A1:J1"/>
    <mergeCell ref="A3:A4"/>
    <mergeCell ref="B3:B4"/>
    <mergeCell ref="C3:D3"/>
    <mergeCell ref="E3:F3"/>
    <mergeCell ref="G3:H3"/>
    <mergeCell ref="I3:I4"/>
    <mergeCell ref="J3:J4"/>
    <mergeCell ref="A30:H30"/>
    <mergeCell ref="A31:D31"/>
    <mergeCell ref="F31:J31"/>
    <mergeCell ref="L4:L5"/>
    <mergeCell ref="M4:M5"/>
    <mergeCell ref="A26:B27"/>
    <mergeCell ref="C26:C27"/>
    <mergeCell ref="D26:D27"/>
    <mergeCell ref="E26:E27"/>
    <mergeCell ref="F26:F27"/>
    <mergeCell ref="G26:G27"/>
    <mergeCell ref="H26:H27"/>
    <mergeCell ref="I26:I27"/>
    <mergeCell ref="J26:J27"/>
  </mergeCells>
  <printOptions horizontalCentered="1" verticalCentered="1"/>
  <pageMargins left="0.7" right="0.7" top="0.75" bottom="0.75" header="0.3" footer="0.3"/>
  <pageSetup scale="67" orientation="landscape" r:id="rId1"/>
  <colBreaks count="1" manualBreakCount="1">
    <brk id="12" max="3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zoomScale="112" zoomScaleNormal="112" workbookViewId="0">
      <selection activeCell="G8" sqref="G8"/>
    </sheetView>
  </sheetViews>
  <sheetFormatPr defaultRowHeight="15" x14ac:dyDescent="0.25"/>
  <cols>
    <col min="1" max="1" width="14.5703125" customWidth="1"/>
    <col min="2" max="2" width="12.85546875" customWidth="1"/>
    <col min="3" max="3" width="13.42578125" customWidth="1"/>
    <col min="4" max="4" width="10.85546875" customWidth="1"/>
    <col min="5" max="5" width="10.28515625" customWidth="1"/>
    <col min="6" max="6" width="13.85546875" customWidth="1"/>
    <col min="7" max="7" width="16.140625" customWidth="1"/>
    <col min="8" max="8" width="10.42578125" customWidth="1"/>
    <col min="9" max="9" width="10.85546875" customWidth="1"/>
  </cols>
  <sheetData>
    <row r="1" spans="1:7" ht="26.25" x14ac:dyDescent="0.4">
      <c r="A1" s="160" t="s">
        <v>20</v>
      </c>
      <c r="B1" s="160"/>
      <c r="C1" s="160"/>
      <c r="D1" s="160"/>
      <c r="E1" s="160"/>
      <c r="F1" s="160"/>
    </row>
    <row r="2" spans="1:7" ht="15.75" thickBot="1" x14ac:dyDescent="0.3"/>
    <row r="3" spans="1:7" ht="15" customHeight="1" x14ac:dyDescent="0.25">
      <c r="A3" s="190" t="s">
        <v>0</v>
      </c>
      <c r="B3" s="192" t="s">
        <v>1</v>
      </c>
      <c r="C3" s="192" t="s">
        <v>5</v>
      </c>
      <c r="D3" s="192" t="s">
        <v>9</v>
      </c>
      <c r="E3" s="192" t="s">
        <v>10</v>
      </c>
      <c r="F3" s="194" t="s">
        <v>7</v>
      </c>
      <c r="G3" s="184" t="s">
        <v>19</v>
      </c>
    </row>
    <row r="4" spans="1:7" ht="15.75" customHeight="1" thickBot="1" x14ac:dyDescent="0.3">
      <c r="A4" s="191"/>
      <c r="B4" s="193"/>
      <c r="C4" s="193"/>
      <c r="D4" s="193"/>
      <c r="E4" s="193"/>
      <c r="F4" s="195"/>
      <c r="G4" s="185"/>
    </row>
    <row r="5" spans="1:7" x14ac:dyDescent="0.25">
      <c r="A5" s="21" t="s">
        <v>2</v>
      </c>
      <c r="B5" s="22">
        <v>3.3</v>
      </c>
      <c r="C5" s="22">
        <f>B5</f>
        <v>3.3</v>
      </c>
      <c r="D5" s="23">
        <v>0</v>
      </c>
      <c r="E5" s="24">
        <f t="shared" ref="E5:E12" si="0">D5*$C$24</f>
        <v>0</v>
      </c>
      <c r="F5" s="38">
        <f>E5</f>
        <v>0</v>
      </c>
      <c r="G5" s="32">
        <f>F5</f>
        <v>0</v>
      </c>
    </row>
    <row r="6" spans="1:7" x14ac:dyDescent="0.25">
      <c r="A6" s="21" t="s">
        <v>6</v>
      </c>
      <c r="B6" s="22">
        <v>2.9</v>
      </c>
      <c r="C6" s="22">
        <f>B6*2</f>
        <v>5.8</v>
      </c>
      <c r="D6" s="23">
        <v>0</v>
      </c>
      <c r="E6" s="24">
        <f t="shared" si="0"/>
        <v>0</v>
      </c>
      <c r="F6" s="39">
        <f>E6*2</f>
        <v>0</v>
      </c>
      <c r="G6" s="32">
        <f>F6*2</f>
        <v>0</v>
      </c>
    </row>
    <row r="7" spans="1:7" x14ac:dyDescent="0.25">
      <c r="A7" s="17" t="s">
        <v>13</v>
      </c>
      <c r="B7" s="18">
        <v>3.7</v>
      </c>
      <c r="C7" s="18">
        <f>B7</f>
        <v>3.7</v>
      </c>
      <c r="D7" s="19">
        <v>0</v>
      </c>
      <c r="E7" s="20">
        <f t="shared" si="0"/>
        <v>0</v>
      </c>
      <c r="F7" s="40">
        <f>E7</f>
        <v>0</v>
      </c>
      <c r="G7" s="33">
        <f>F7</f>
        <v>0</v>
      </c>
    </row>
    <row r="8" spans="1:7" x14ac:dyDescent="0.25">
      <c r="A8" s="17" t="s">
        <v>14</v>
      </c>
      <c r="B8" s="18">
        <v>2.9</v>
      </c>
      <c r="C8" s="18">
        <f>B8*3</f>
        <v>8.6999999999999993</v>
      </c>
      <c r="D8" s="30">
        <v>840.92</v>
      </c>
      <c r="E8" s="20">
        <f t="shared" si="0"/>
        <v>9051.6628799999999</v>
      </c>
      <c r="F8" s="138">
        <f>E8*3</f>
        <v>27154.98864</v>
      </c>
      <c r="G8" s="34">
        <f>D8*3</f>
        <v>2522.7599999999998</v>
      </c>
    </row>
    <row r="9" spans="1:7" x14ac:dyDescent="0.25">
      <c r="A9" s="14" t="s">
        <v>15</v>
      </c>
      <c r="B9" s="15">
        <v>3.7</v>
      </c>
      <c r="C9" s="15">
        <f>B9*1</f>
        <v>3.7</v>
      </c>
      <c r="D9" s="29">
        <v>840.92</v>
      </c>
      <c r="E9" s="16">
        <f t="shared" si="0"/>
        <v>9051.6628799999999</v>
      </c>
      <c r="F9" s="41">
        <f>E9</f>
        <v>9051.6628799999999</v>
      </c>
      <c r="G9" s="35">
        <f>D9</f>
        <v>840.92</v>
      </c>
    </row>
    <row r="10" spans="1:7" x14ac:dyDescent="0.25">
      <c r="A10" s="14" t="s">
        <v>16</v>
      </c>
      <c r="B10" s="15">
        <v>2.9</v>
      </c>
      <c r="C10" s="15">
        <f>B10*3</f>
        <v>8.6999999999999993</v>
      </c>
      <c r="D10" s="29">
        <v>840.92</v>
      </c>
      <c r="E10" s="16">
        <f t="shared" si="0"/>
        <v>9051.6628799999999</v>
      </c>
      <c r="F10" s="41">
        <f>E10*3</f>
        <v>27154.98864</v>
      </c>
      <c r="G10" s="35">
        <f>D10*3</f>
        <v>2522.7599999999998</v>
      </c>
    </row>
    <row r="11" spans="1:7" x14ac:dyDescent="0.25">
      <c r="A11" s="14" t="s">
        <v>8</v>
      </c>
      <c r="B11" s="15">
        <v>2.9</v>
      </c>
      <c r="C11" s="15">
        <f>B11</f>
        <v>2.9</v>
      </c>
      <c r="D11" s="29">
        <v>840.92</v>
      </c>
      <c r="E11" s="16">
        <f t="shared" si="0"/>
        <v>9051.6628799999999</v>
      </c>
      <c r="F11" s="41">
        <f>E11</f>
        <v>9051.6628799999999</v>
      </c>
      <c r="G11" s="35">
        <f>D11</f>
        <v>840.92</v>
      </c>
    </row>
    <row r="12" spans="1:7" x14ac:dyDescent="0.25">
      <c r="A12" s="25" t="s">
        <v>3</v>
      </c>
      <c r="B12" s="26">
        <v>7</v>
      </c>
      <c r="C12" s="26">
        <f>B12</f>
        <v>7</v>
      </c>
      <c r="D12" s="27">
        <v>207</v>
      </c>
      <c r="E12" s="28">
        <f t="shared" si="0"/>
        <v>2228.1479999999997</v>
      </c>
      <c r="F12" s="45">
        <f>E12</f>
        <v>2228.1479999999997</v>
      </c>
      <c r="G12" s="46">
        <f>D12</f>
        <v>207</v>
      </c>
    </row>
    <row r="13" spans="1:7" x14ac:dyDescent="0.25">
      <c r="A13" s="1"/>
      <c r="B13" s="5"/>
      <c r="C13" s="5"/>
      <c r="D13" s="2"/>
      <c r="E13" s="7"/>
      <c r="F13" s="42"/>
      <c r="G13" s="36"/>
    </row>
    <row r="14" spans="1:7" ht="15.75" thickBot="1" x14ac:dyDescent="0.3">
      <c r="A14" s="3"/>
      <c r="B14" s="6"/>
      <c r="C14" s="6"/>
      <c r="D14" s="4"/>
      <c r="E14" s="8"/>
      <c r="F14" s="43"/>
      <c r="G14" s="37"/>
    </row>
    <row r="15" spans="1:7" ht="15.75" thickBot="1" x14ac:dyDescent="0.3"/>
    <row r="16" spans="1:7" ht="19.5" thickBot="1" x14ac:dyDescent="0.3">
      <c r="A16" s="186" t="s">
        <v>21</v>
      </c>
      <c r="B16" s="187"/>
      <c r="C16" s="187"/>
      <c r="D16" s="187"/>
      <c r="E16" s="188"/>
      <c r="F16" s="12">
        <f>SUM(F5:F12)</f>
        <v>74641.45104</v>
      </c>
      <c r="G16" s="31">
        <f>SUM(G5:G12)</f>
        <v>6934.36</v>
      </c>
    </row>
    <row r="19" spans="1:6" x14ac:dyDescent="0.25">
      <c r="C19" s="158"/>
      <c r="D19" s="158"/>
      <c r="E19" s="158"/>
      <c r="F19" s="9"/>
    </row>
    <row r="20" spans="1:6" ht="15" customHeight="1" x14ac:dyDescent="0.25">
      <c r="D20" s="189"/>
      <c r="E20" s="189"/>
      <c r="F20" s="10"/>
    </row>
    <row r="22" spans="1:6" ht="15" hidden="1" customHeight="1" x14ac:dyDescent="0.25"/>
    <row r="23" spans="1:6" ht="15" hidden="1" customHeight="1" x14ac:dyDescent="0.25">
      <c r="A23" t="s">
        <v>11</v>
      </c>
      <c r="C23">
        <v>1000000</v>
      </c>
    </row>
    <row r="24" spans="1:6" ht="15" hidden="1" customHeight="1" x14ac:dyDescent="0.25">
      <c r="A24" t="s">
        <v>12</v>
      </c>
      <c r="C24">
        <v>10.763999999999999</v>
      </c>
    </row>
    <row r="25" spans="1:6" ht="15" hidden="1" customHeight="1" x14ac:dyDescent="0.25"/>
    <row r="34" spans="4:6" x14ac:dyDescent="0.25">
      <c r="D34" s="11"/>
      <c r="E34" s="11"/>
      <c r="F34" s="11"/>
    </row>
  </sheetData>
  <mergeCells count="11">
    <mergeCell ref="G3:G4"/>
    <mergeCell ref="A16:E16"/>
    <mergeCell ref="C19:E19"/>
    <mergeCell ref="D20:E20"/>
    <mergeCell ref="A1:F1"/>
    <mergeCell ref="A3:A4"/>
    <mergeCell ref="B3:B4"/>
    <mergeCell ref="C3:C4"/>
    <mergeCell ref="D3:D4"/>
    <mergeCell ref="E3:E4"/>
    <mergeCell ref="F3:F4"/>
  </mergeCells>
  <printOptions horizontalCentered="1" verticalCentered="1"/>
  <pageMargins left="0.7" right="0.7" top="0.75" bottom="0.75" header="0.3" footer="0.3"/>
  <pageSetup orientation="landscape" r:id="rId1"/>
  <colBreaks count="1" manualBreakCount="1">
    <brk id="10" max="5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zoomScale="112" zoomScaleNormal="112" workbookViewId="0">
      <selection activeCell="G28" sqref="G28"/>
    </sheetView>
  </sheetViews>
  <sheetFormatPr defaultRowHeight="15" x14ac:dyDescent="0.25"/>
  <cols>
    <col min="1" max="1" width="14.5703125" customWidth="1"/>
    <col min="2" max="2" width="12.85546875" customWidth="1"/>
    <col min="3" max="3" width="13.42578125" customWidth="1"/>
    <col min="4" max="4" width="10.85546875" customWidth="1"/>
    <col min="5" max="5" width="10.28515625" customWidth="1"/>
    <col min="6" max="6" width="13.85546875" customWidth="1"/>
    <col min="7" max="7" width="16.140625" customWidth="1"/>
    <col min="8" max="8" width="10.42578125" customWidth="1"/>
    <col min="9" max="9" width="10.85546875" customWidth="1"/>
  </cols>
  <sheetData>
    <row r="1" spans="1:7" ht="26.25" x14ac:dyDescent="0.4">
      <c r="A1" s="160" t="s">
        <v>18</v>
      </c>
      <c r="B1" s="160"/>
      <c r="C1" s="160"/>
      <c r="D1" s="160"/>
      <c r="E1" s="160"/>
      <c r="F1" s="160"/>
    </row>
    <row r="2" spans="1:7" ht="15.75" thickBot="1" x14ac:dyDescent="0.3"/>
    <row r="3" spans="1:7" ht="15" customHeight="1" x14ac:dyDescent="0.25">
      <c r="A3" s="190" t="s">
        <v>0</v>
      </c>
      <c r="B3" s="192" t="s">
        <v>1</v>
      </c>
      <c r="C3" s="192" t="s">
        <v>5</v>
      </c>
      <c r="D3" s="192" t="s">
        <v>9</v>
      </c>
      <c r="E3" s="192" t="s">
        <v>10</v>
      </c>
      <c r="F3" s="194" t="s">
        <v>7</v>
      </c>
      <c r="G3" s="184" t="s">
        <v>19</v>
      </c>
    </row>
    <row r="4" spans="1:7" ht="15.75" customHeight="1" thickBot="1" x14ac:dyDescent="0.3">
      <c r="A4" s="191"/>
      <c r="B4" s="193"/>
      <c r="C4" s="193"/>
      <c r="D4" s="193"/>
      <c r="E4" s="193"/>
      <c r="F4" s="195"/>
      <c r="G4" s="185"/>
    </row>
    <row r="5" spans="1:7" x14ac:dyDescent="0.25">
      <c r="A5" s="21" t="s">
        <v>2</v>
      </c>
      <c r="B5" s="22">
        <v>3.3</v>
      </c>
      <c r="C5" s="22">
        <f>B5</f>
        <v>3.3</v>
      </c>
      <c r="D5" s="23">
        <v>1787</v>
      </c>
      <c r="E5" s="24">
        <f t="shared" ref="E5:E12" si="0">D5*$C$24</f>
        <v>19235.268</v>
      </c>
      <c r="F5" s="38">
        <f>E5</f>
        <v>19235.268</v>
      </c>
      <c r="G5" s="32">
        <f>D5</f>
        <v>1787</v>
      </c>
    </row>
    <row r="6" spans="1:7" x14ac:dyDescent="0.25">
      <c r="A6" s="21" t="s">
        <v>6</v>
      </c>
      <c r="B6" s="22">
        <v>2.9</v>
      </c>
      <c r="C6" s="22">
        <f>B6*2</f>
        <v>5.8</v>
      </c>
      <c r="D6" s="23">
        <v>1787</v>
      </c>
      <c r="E6" s="24">
        <f t="shared" si="0"/>
        <v>19235.268</v>
      </c>
      <c r="F6" s="39">
        <f>E6*2</f>
        <v>38470.536</v>
      </c>
      <c r="G6" s="32">
        <f>D6*2</f>
        <v>3574</v>
      </c>
    </row>
    <row r="7" spans="1:7" x14ac:dyDescent="0.25">
      <c r="A7" s="17" t="s">
        <v>13</v>
      </c>
      <c r="B7" s="18">
        <v>3.7</v>
      </c>
      <c r="C7" s="18">
        <f>B7</f>
        <v>3.7</v>
      </c>
      <c r="D7" s="44">
        <v>1923.08</v>
      </c>
      <c r="E7" s="20">
        <f>D7*$C$24</f>
        <v>20700.033119999996</v>
      </c>
      <c r="F7" s="40">
        <f>E7</f>
        <v>20700.033119999996</v>
      </c>
      <c r="G7" s="33">
        <f>D7</f>
        <v>1923.08</v>
      </c>
    </row>
    <row r="8" spans="1:7" x14ac:dyDescent="0.25">
      <c r="A8" s="17" t="s">
        <v>14</v>
      </c>
      <c r="B8" s="18">
        <v>2.9</v>
      </c>
      <c r="C8" s="18">
        <f>B8*3</f>
        <v>8.6999999999999993</v>
      </c>
      <c r="D8" s="30">
        <v>1923.08</v>
      </c>
      <c r="E8" s="20">
        <f>D8*$C$24</f>
        <v>20700.033119999996</v>
      </c>
      <c r="F8" s="138">
        <f>E8*3</f>
        <v>62100.099359999993</v>
      </c>
      <c r="G8" s="34">
        <f>D8*3</f>
        <v>5769.24</v>
      </c>
    </row>
    <row r="9" spans="1:7" x14ac:dyDescent="0.25">
      <c r="A9" s="14" t="s">
        <v>15</v>
      </c>
      <c r="B9" s="15">
        <v>3.7</v>
      </c>
      <c r="C9" s="15">
        <f>B9*1</f>
        <v>3.7</v>
      </c>
      <c r="D9" s="29">
        <v>2949.08</v>
      </c>
      <c r="E9" s="16">
        <f t="shared" si="0"/>
        <v>31743.897119999998</v>
      </c>
      <c r="F9" s="41">
        <f>E9</f>
        <v>31743.897119999998</v>
      </c>
      <c r="G9" s="35">
        <f>D9</f>
        <v>2949.08</v>
      </c>
    </row>
    <row r="10" spans="1:7" x14ac:dyDescent="0.25">
      <c r="A10" s="14" t="s">
        <v>16</v>
      </c>
      <c r="B10" s="15">
        <v>2.9</v>
      </c>
      <c r="C10" s="15">
        <f>B10*3</f>
        <v>8.6999999999999993</v>
      </c>
      <c r="D10" s="29">
        <v>2949.08</v>
      </c>
      <c r="E10" s="16">
        <f t="shared" si="0"/>
        <v>31743.897119999998</v>
      </c>
      <c r="F10" s="41">
        <f>E10*3</f>
        <v>95231.691359999997</v>
      </c>
      <c r="G10" s="35">
        <f>D10*3</f>
        <v>8847.24</v>
      </c>
    </row>
    <row r="11" spans="1:7" x14ac:dyDescent="0.25">
      <c r="A11" s="14" t="s">
        <v>8</v>
      </c>
      <c r="B11" s="15">
        <v>2.9</v>
      </c>
      <c r="C11" s="15">
        <f>B11</f>
        <v>2.9</v>
      </c>
      <c r="D11" s="29">
        <v>2949.08</v>
      </c>
      <c r="E11" s="16">
        <f t="shared" si="0"/>
        <v>31743.897119999998</v>
      </c>
      <c r="F11" s="41">
        <f>E11</f>
        <v>31743.897119999998</v>
      </c>
      <c r="G11" s="35">
        <f>D11</f>
        <v>2949.08</v>
      </c>
    </row>
    <row r="12" spans="1:7" x14ac:dyDescent="0.25">
      <c r="A12" s="25" t="s">
        <v>3</v>
      </c>
      <c r="B12" s="26">
        <v>7</v>
      </c>
      <c r="C12" s="26">
        <f>B12</f>
        <v>7</v>
      </c>
      <c r="D12" s="27">
        <v>1286</v>
      </c>
      <c r="E12" s="28">
        <f t="shared" si="0"/>
        <v>13842.503999999999</v>
      </c>
      <c r="F12" s="45">
        <f>E12</f>
        <v>13842.503999999999</v>
      </c>
      <c r="G12" s="46">
        <f>D12</f>
        <v>1286</v>
      </c>
    </row>
    <row r="13" spans="1:7" x14ac:dyDescent="0.25">
      <c r="A13" s="1"/>
      <c r="B13" s="5"/>
      <c r="C13" s="5"/>
      <c r="D13" s="2"/>
      <c r="E13" s="7"/>
      <c r="F13" s="42"/>
      <c r="G13" s="36"/>
    </row>
    <row r="14" spans="1:7" ht="15.75" thickBot="1" x14ac:dyDescent="0.3">
      <c r="A14" s="3"/>
      <c r="B14" s="6"/>
      <c r="C14" s="6"/>
      <c r="D14" s="4"/>
      <c r="E14" s="8"/>
      <c r="F14" s="43"/>
      <c r="G14" s="37"/>
    </row>
    <row r="15" spans="1:7" ht="15.75" thickBot="1" x14ac:dyDescent="0.3"/>
    <row r="16" spans="1:7" ht="19.5" thickBot="1" x14ac:dyDescent="0.3">
      <c r="A16" s="186" t="s">
        <v>17</v>
      </c>
      <c r="B16" s="187"/>
      <c r="C16" s="187"/>
      <c r="D16" s="187"/>
      <c r="E16" s="188"/>
      <c r="F16" s="12">
        <f>SUM(F5:F12)</f>
        <v>313067.92607999995</v>
      </c>
      <c r="G16" s="31">
        <f>SUM(G5:G12)</f>
        <v>29084.720000000001</v>
      </c>
    </row>
    <row r="19" spans="1:6" x14ac:dyDescent="0.25">
      <c r="C19" s="158"/>
      <c r="D19" s="158"/>
      <c r="E19" s="158"/>
      <c r="F19" s="9"/>
    </row>
    <row r="20" spans="1:6" ht="15" customHeight="1" x14ac:dyDescent="0.25">
      <c r="D20" s="189"/>
      <c r="E20" s="189"/>
      <c r="F20" s="10"/>
    </row>
    <row r="22" spans="1:6" ht="15" customHeight="1" x14ac:dyDescent="0.25"/>
    <row r="23" spans="1:6" ht="15" customHeight="1" x14ac:dyDescent="0.25">
      <c r="A23" t="s">
        <v>11</v>
      </c>
      <c r="C23">
        <v>1000000</v>
      </c>
    </row>
    <row r="24" spans="1:6" ht="15" customHeight="1" x14ac:dyDescent="0.25">
      <c r="A24" t="s">
        <v>12</v>
      </c>
      <c r="C24">
        <v>10.763999999999999</v>
      </c>
    </row>
    <row r="25" spans="1:6" ht="15" customHeight="1" x14ac:dyDescent="0.25"/>
    <row r="34" spans="4:6" x14ac:dyDescent="0.25">
      <c r="D34" s="11"/>
      <c r="E34" s="11"/>
      <c r="F34" s="11"/>
    </row>
  </sheetData>
  <mergeCells count="11">
    <mergeCell ref="G3:G4"/>
    <mergeCell ref="A16:E16"/>
    <mergeCell ref="C19:E19"/>
    <mergeCell ref="D20:E20"/>
    <mergeCell ref="A1:F1"/>
    <mergeCell ref="A3:A4"/>
    <mergeCell ref="B3:B4"/>
    <mergeCell ref="C3:C4"/>
    <mergeCell ref="D3:D4"/>
    <mergeCell ref="E3:E4"/>
    <mergeCell ref="F3:F4"/>
  </mergeCells>
  <printOptions horizontalCentered="1" verticalCentered="1"/>
  <pageMargins left="0.7" right="0.7" top="0.75" bottom="0.75" header="0.3" footer="0.3"/>
  <pageSetup orientation="landscape" r:id="rId1"/>
  <colBreaks count="1" manualBreakCount="1">
    <brk id="10" max="5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7"/>
  <sheetViews>
    <sheetView workbookViewId="0">
      <selection activeCell="L36" sqref="L36"/>
    </sheetView>
  </sheetViews>
  <sheetFormatPr defaultRowHeight="15" x14ac:dyDescent="0.25"/>
  <cols>
    <col min="2" max="2" width="12.28515625" bestFit="1" customWidth="1"/>
    <col min="3" max="3" width="2" bestFit="1" customWidth="1"/>
    <col min="4" max="4" width="3" bestFit="1" customWidth="1"/>
    <col min="5" max="5" width="2" bestFit="1" customWidth="1"/>
    <col min="6" max="6" width="6.28515625" bestFit="1" customWidth="1"/>
    <col min="7" max="7" width="1.85546875" bestFit="1" customWidth="1"/>
    <col min="8" max="8" width="3" bestFit="1" customWidth="1"/>
    <col min="9" max="9" width="2" bestFit="1" customWidth="1"/>
    <col min="10" max="10" width="8.28515625" bestFit="1" customWidth="1"/>
    <col min="14" max="14" width="8.5703125" customWidth="1"/>
  </cols>
  <sheetData>
    <row r="3" spans="2:14" x14ac:dyDescent="0.25">
      <c r="B3" t="s">
        <v>72</v>
      </c>
      <c r="C3" t="s">
        <v>70</v>
      </c>
      <c r="D3">
        <v>50</v>
      </c>
      <c r="E3" t="s">
        <v>69</v>
      </c>
      <c r="F3" t="s">
        <v>71</v>
      </c>
      <c r="G3" t="s">
        <v>73</v>
      </c>
      <c r="H3">
        <v>50</v>
      </c>
      <c r="I3" t="s">
        <v>69</v>
      </c>
      <c r="J3" t="s">
        <v>75</v>
      </c>
      <c r="K3" t="s">
        <v>76</v>
      </c>
      <c r="L3">
        <v>13</v>
      </c>
      <c r="M3" t="s">
        <v>69</v>
      </c>
      <c r="N3" t="s">
        <v>74</v>
      </c>
    </row>
    <row r="4" spans="2:14" x14ac:dyDescent="0.25">
      <c r="B4">
        <v>225</v>
      </c>
      <c r="D4">
        <v>50</v>
      </c>
      <c r="E4" t="s">
        <v>69</v>
      </c>
      <c r="F4">
        <f>B4-D4</f>
        <v>175</v>
      </c>
      <c r="G4" t="s">
        <v>73</v>
      </c>
      <c r="H4">
        <v>50</v>
      </c>
      <c r="I4" t="s">
        <v>69</v>
      </c>
      <c r="J4" s="154">
        <f>F4/H4</f>
        <v>3.5</v>
      </c>
      <c r="K4" t="s">
        <v>77</v>
      </c>
      <c r="L4">
        <v>13</v>
      </c>
      <c r="M4" t="s">
        <v>69</v>
      </c>
      <c r="N4">
        <f>J4*L4</f>
        <v>45.5</v>
      </c>
    </row>
    <row r="6" spans="2:14" x14ac:dyDescent="0.25">
      <c r="B6" t="s">
        <v>78</v>
      </c>
      <c r="C6" t="s">
        <v>79</v>
      </c>
      <c r="D6" t="s">
        <v>80</v>
      </c>
      <c r="I6" t="s">
        <v>79</v>
      </c>
      <c r="J6" t="s">
        <v>81</v>
      </c>
      <c r="N6" t="s">
        <v>82</v>
      </c>
    </row>
    <row r="7" spans="2:14" x14ac:dyDescent="0.25">
      <c r="B7">
        <v>25</v>
      </c>
      <c r="C7" t="s">
        <v>79</v>
      </c>
      <c r="D7">
        <v>10</v>
      </c>
      <c r="I7" t="s">
        <v>79</v>
      </c>
      <c r="J7">
        <f>N4</f>
        <v>45.5</v>
      </c>
      <c r="M7" t="s">
        <v>69</v>
      </c>
      <c r="N7">
        <f>B7+D7+J7</f>
        <v>80.5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0"/>
  <sheetViews>
    <sheetView topLeftCell="A16" zoomScaleNormal="100" workbookViewId="0">
      <selection activeCell="H44" sqref="H44"/>
    </sheetView>
  </sheetViews>
  <sheetFormatPr defaultRowHeight="15" x14ac:dyDescent="0.25"/>
  <cols>
    <col min="1" max="1" width="26.42578125" customWidth="1"/>
    <col min="2" max="2" width="12.85546875" customWidth="1"/>
    <col min="3" max="3" width="9.285156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0.28515625" customWidth="1"/>
    <col min="9" max="9" width="16.85546875" customWidth="1"/>
    <col min="10" max="10" width="16.7109375" customWidth="1"/>
    <col min="12" max="12" width="10.42578125" customWidth="1"/>
    <col min="13" max="13" width="10.85546875" customWidth="1"/>
  </cols>
  <sheetData>
    <row r="1" spans="1:10" ht="26.25" x14ac:dyDescent="0.4">
      <c r="A1" s="159" t="s">
        <v>25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ht="15.75" thickBot="1" x14ac:dyDescent="0.3"/>
    <row r="3" spans="1:10" ht="15" customHeight="1" x14ac:dyDescent="0.25">
      <c r="A3" s="161" t="s">
        <v>0</v>
      </c>
      <c r="B3" s="166" t="s">
        <v>1</v>
      </c>
      <c r="C3" s="172" t="s">
        <v>22</v>
      </c>
      <c r="D3" s="173"/>
      <c r="E3" s="172" t="s">
        <v>18</v>
      </c>
      <c r="F3" s="173"/>
      <c r="G3" s="172" t="s">
        <v>20</v>
      </c>
      <c r="H3" s="173"/>
      <c r="I3" s="170" t="s">
        <v>19</v>
      </c>
      <c r="J3" s="168" t="s">
        <v>7</v>
      </c>
    </row>
    <row r="4" spans="1:10" ht="15.75" customHeight="1" thickBot="1" x14ac:dyDescent="0.3">
      <c r="A4" s="162"/>
      <c r="B4" s="167"/>
      <c r="C4" s="52" t="s">
        <v>26</v>
      </c>
      <c r="D4" s="53" t="s">
        <v>27</v>
      </c>
      <c r="E4" s="52" t="s">
        <v>26</v>
      </c>
      <c r="F4" s="53" t="s">
        <v>27</v>
      </c>
      <c r="G4" s="52" t="s">
        <v>26</v>
      </c>
      <c r="H4" s="53" t="s">
        <v>27</v>
      </c>
      <c r="I4" s="171"/>
      <c r="J4" s="169"/>
    </row>
    <row r="6" spans="1:10" x14ac:dyDescent="0.25">
      <c r="A6" s="47" t="s">
        <v>24</v>
      </c>
      <c r="B6" s="48">
        <v>4.9000000000000004</v>
      </c>
      <c r="C6" s="49">
        <v>0</v>
      </c>
      <c r="D6" s="50">
        <v>0</v>
      </c>
      <c r="E6" s="124">
        <v>225.56560899999999</v>
      </c>
      <c r="F6" s="124">
        <v>2427.9656587150998</v>
      </c>
      <c r="G6" s="119">
        <v>0</v>
      </c>
      <c r="H6" s="119">
        <v>0</v>
      </c>
      <c r="I6" s="55"/>
      <c r="J6" s="54">
        <f>H6+F6</f>
        <v>2427.9656587150998</v>
      </c>
    </row>
    <row r="7" spans="1:10" x14ac:dyDescent="0.25">
      <c r="A7" s="47" t="s">
        <v>2</v>
      </c>
      <c r="B7" s="48">
        <v>3.85</v>
      </c>
      <c r="C7" s="49">
        <v>0</v>
      </c>
      <c r="D7" s="50">
        <v>0</v>
      </c>
      <c r="E7" s="124">
        <v>1581.521375</v>
      </c>
      <c r="F7" s="124">
        <v>17023.3379283625</v>
      </c>
      <c r="G7" s="119">
        <v>0</v>
      </c>
      <c r="H7" s="119">
        <v>0</v>
      </c>
      <c r="I7" s="55"/>
      <c r="J7" s="54">
        <f>H7+F7</f>
        <v>17023.3379283625</v>
      </c>
    </row>
    <row r="8" spans="1:10" x14ac:dyDescent="0.25">
      <c r="A8" s="47" t="s">
        <v>62</v>
      </c>
      <c r="B8" s="48">
        <v>3.25</v>
      </c>
      <c r="C8" s="49">
        <v>0</v>
      </c>
      <c r="D8" s="50">
        <v>0</v>
      </c>
      <c r="E8" s="124">
        <v>1581.521375</v>
      </c>
      <c r="F8" s="124">
        <v>17023.3379283625</v>
      </c>
      <c r="G8" s="119">
        <v>0</v>
      </c>
      <c r="H8" s="119">
        <v>0</v>
      </c>
      <c r="I8" s="55"/>
      <c r="J8" s="54">
        <f>(H8+F8)</f>
        <v>17023.3379283625</v>
      </c>
    </row>
    <row r="9" spans="1:10" x14ac:dyDescent="0.25">
      <c r="A9" s="47" t="s">
        <v>63</v>
      </c>
      <c r="B9" s="48">
        <v>3.25</v>
      </c>
      <c r="C9" s="49">
        <v>0</v>
      </c>
      <c r="D9" s="50">
        <v>0</v>
      </c>
      <c r="E9" s="124">
        <v>1560.0773220000001</v>
      </c>
      <c r="F9" s="124">
        <v>16792.516286275801</v>
      </c>
      <c r="G9" s="119">
        <v>0</v>
      </c>
      <c r="H9" s="119">
        <v>0</v>
      </c>
      <c r="I9" s="55">
        <v>1269.79</v>
      </c>
      <c r="J9" s="54">
        <f>(H9+F9)</f>
        <v>16792.516286275801</v>
      </c>
    </row>
    <row r="10" spans="1:10" x14ac:dyDescent="0.25">
      <c r="A10" s="47" t="s">
        <v>13</v>
      </c>
      <c r="B10" s="48">
        <v>3.25</v>
      </c>
      <c r="C10" s="49">
        <v>0</v>
      </c>
      <c r="D10" s="50">
        <v>0</v>
      </c>
      <c r="E10" s="124">
        <v>2429.8473239999998</v>
      </c>
      <c r="F10" s="124">
        <v>26154.633610803598</v>
      </c>
      <c r="G10" s="119">
        <v>0</v>
      </c>
      <c r="H10" s="119">
        <v>0</v>
      </c>
      <c r="I10" s="55">
        <v>1269.79</v>
      </c>
      <c r="J10" s="54">
        <f>H10+F10</f>
        <v>26154.633610803598</v>
      </c>
    </row>
    <row r="11" spans="1:10" x14ac:dyDescent="0.25">
      <c r="A11" s="47" t="s">
        <v>61</v>
      </c>
      <c r="B11" s="48">
        <v>2.95</v>
      </c>
      <c r="C11" s="49">
        <v>0</v>
      </c>
      <c r="D11" s="50">
        <v>0</v>
      </c>
      <c r="E11" s="124">
        <v>1548.5681939999999</v>
      </c>
      <c r="F11" s="124">
        <v>16668.6331833966</v>
      </c>
      <c r="G11" s="119">
        <v>763.14454499999999</v>
      </c>
      <c r="H11" s="119">
        <v>8214.4115679254992</v>
      </c>
      <c r="I11" s="55">
        <v>3231.33</v>
      </c>
      <c r="J11" s="54">
        <f>(H11+F11)</f>
        <v>24883.044751322101</v>
      </c>
    </row>
    <row r="12" spans="1:10" x14ac:dyDescent="0.25">
      <c r="A12" s="47" t="s">
        <v>60</v>
      </c>
      <c r="B12" s="48">
        <v>2.95</v>
      </c>
      <c r="C12" s="49">
        <v>0</v>
      </c>
      <c r="D12" s="50">
        <v>0</v>
      </c>
      <c r="E12" s="124">
        <v>1548.5681939999999</v>
      </c>
      <c r="F12" s="124">
        <v>16668.6331833966</v>
      </c>
      <c r="G12" s="119">
        <v>763.14454499999999</v>
      </c>
      <c r="H12" s="119">
        <v>8214.4115679254992</v>
      </c>
      <c r="I12" s="55">
        <v>3231.33</v>
      </c>
      <c r="J12" s="54">
        <f>(H12+F12)</f>
        <v>24883.044751322101</v>
      </c>
    </row>
    <row r="13" spans="1:10" x14ac:dyDescent="0.25">
      <c r="A13" s="47" t="s">
        <v>59</v>
      </c>
      <c r="B13" s="48">
        <v>2.95</v>
      </c>
      <c r="C13" s="49">
        <v>0</v>
      </c>
      <c r="D13" s="50">
        <v>0</v>
      </c>
      <c r="E13" s="124">
        <v>1548.5681939999999</v>
      </c>
      <c r="F13" s="124">
        <v>16668.6331833966</v>
      </c>
      <c r="G13" s="119">
        <v>763.14454499999999</v>
      </c>
      <c r="H13" s="119">
        <v>8214.4115679254992</v>
      </c>
      <c r="I13" s="55">
        <v>3231.33</v>
      </c>
      <c r="J13" s="54">
        <f>(H13+F13)</f>
        <v>24883.044751322101</v>
      </c>
    </row>
    <row r="14" spans="1:10" x14ac:dyDescent="0.25">
      <c r="A14" s="47" t="s">
        <v>15</v>
      </c>
      <c r="B14" s="48">
        <v>3.25</v>
      </c>
      <c r="C14" s="49">
        <v>0</v>
      </c>
      <c r="D14" s="50">
        <v>0</v>
      </c>
      <c r="E14" s="124">
        <v>2484.001663</v>
      </c>
      <c r="F14" s="124">
        <v>26737.545500365701</v>
      </c>
      <c r="G14" s="119">
        <v>763.14454499999999</v>
      </c>
      <c r="H14" s="119">
        <v>8214.4115679254992</v>
      </c>
      <c r="I14" s="55">
        <v>3231.33</v>
      </c>
      <c r="J14" s="54">
        <f>H14+F14</f>
        <v>34951.957068291202</v>
      </c>
    </row>
    <row r="15" spans="1:10" x14ac:dyDescent="0.25">
      <c r="A15" s="47" t="s">
        <v>58</v>
      </c>
      <c r="B15" s="48">
        <v>2.95</v>
      </c>
      <c r="C15" s="49">
        <v>0</v>
      </c>
      <c r="D15" s="50">
        <v>0</v>
      </c>
      <c r="E15" s="124">
        <v>2484.001663</v>
      </c>
      <c r="F15" s="124">
        <v>26737.545500365701</v>
      </c>
      <c r="G15" s="119">
        <v>763.14454499999999</v>
      </c>
      <c r="H15" s="119">
        <v>8214.4115679254992</v>
      </c>
      <c r="I15" s="55">
        <v>5237.1000000000004</v>
      </c>
      <c r="J15" s="54">
        <f t="shared" ref="J15" si="0">(H15+F15)</f>
        <v>34951.957068291202</v>
      </c>
    </row>
    <row r="16" spans="1:10" x14ac:dyDescent="0.25">
      <c r="A16" s="47" t="s">
        <v>57</v>
      </c>
      <c r="B16" s="48">
        <v>2.95</v>
      </c>
      <c r="C16" s="49">
        <v>0</v>
      </c>
      <c r="D16" s="50">
        <v>0</v>
      </c>
      <c r="E16" s="124">
        <v>2484.001663</v>
      </c>
      <c r="F16" s="124">
        <v>26737.545500365701</v>
      </c>
      <c r="G16" s="119">
        <v>763.14454499999999</v>
      </c>
      <c r="H16" s="119">
        <v>8214.4115679254992</v>
      </c>
      <c r="I16" s="55">
        <v>5237.1000000000004</v>
      </c>
      <c r="J16" s="54">
        <f>(H16+F16)</f>
        <v>34951.957068291202</v>
      </c>
    </row>
    <row r="17" spans="1:11" x14ac:dyDescent="0.25">
      <c r="A17" s="47" t="s">
        <v>56</v>
      </c>
      <c r="B17" s="48">
        <v>2.95</v>
      </c>
      <c r="C17" s="49">
        <v>0</v>
      </c>
      <c r="D17" s="50">
        <v>0</v>
      </c>
      <c r="E17" s="124">
        <v>2484.001663</v>
      </c>
      <c r="F17" s="124">
        <v>26737.545500365701</v>
      </c>
      <c r="G17" s="119">
        <v>763.14454499999999</v>
      </c>
      <c r="H17" s="119">
        <v>8214.4115679254992</v>
      </c>
      <c r="I17" s="55">
        <v>5237.1000000000004</v>
      </c>
      <c r="J17" s="54">
        <f>(H17+F17)</f>
        <v>34951.957068291202</v>
      </c>
    </row>
    <row r="18" spans="1:11" x14ac:dyDescent="0.25">
      <c r="A18" s="47" t="s">
        <v>8</v>
      </c>
      <c r="B18" s="48">
        <v>2.95</v>
      </c>
      <c r="C18" s="122">
        <v>0</v>
      </c>
      <c r="D18" s="120">
        <v>0</v>
      </c>
      <c r="E18" s="124">
        <v>2220.519843</v>
      </c>
      <c r="F18" s="124">
        <v>23901.453538067701</v>
      </c>
      <c r="G18" s="119">
        <v>763.14454499999999</v>
      </c>
      <c r="H18" s="119">
        <v>8214.4115679254992</v>
      </c>
      <c r="I18" s="55">
        <v>5237.1000000000004</v>
      </c>
      <c r="J18" s="54">
        <f>H18+F18</f>
        <v>32115.865105993202</v>
      </c>
    </row>
    <row r="19" spans="1:11" x14ac:dyDescent="0.25">
      <c r="A19" s="51" t="s">
        <v>3</v>
      </c>
      <c r="B19" s="125">
        <v>6.4</v>
      </c>
      <c r="C19" s="126">
        <v>3148.3893870000002</v>
      </c>
      <c r="D19" s="126">
        <v>33888.948522729297</v>
      </c>
      <c r="E19" s="124">
        <v>765.73805000000004</v>
      </c>
      <c r="F19" s="124">
        <v>8242.3277963950004</v>
      </c>
      <c r="G19" s="119">
        <v>215.29384999999999</v>
      </c>
      <c r="H19" s="119">
        <v>2317.4014720149999</v>
      </c>
      <c r="I19" s="55">
        <v>5237.1000000000004</v>
      </c>
      <c r="J19" s="56">
        <f>H19+F19+D19</f>
        <v>44448.6777911393</v>
      </c>
    </row>
    <row r="20" spans="1:11" x14ac:dyDescent="0.25">
      <c r="A20" s="51" t="s">
        <v>4</v>
      </c>
      <c r="B20" s="125">
        <v>4</v>
      </c>
      <c r="C20" s="134"/>
      <c r="D20" s="134"/>
      <c r="E20" s="124">
        <v>0</v>
      </c>
      <c r="F20" s="124">
        <v>0</v>
      </c>
      <c r="G20" s="119">
        <v>0</v>
      </c>
      <c r="H20" s="119">
        <v>0</v>
      </c>
      <c r="I20" s="55">
        <f t="shared" ref="I20:J20" si="1">G20+E20+C20</f>
        <v>0</v>
      </c>
      <c r="J20" s="56">
        <f t="shared" si="1"/>
        <v>0</v>
      </c>
    </row>
    <row r="21" spans="1:11" x14ac:dyDescent="0.25">
      <c r="A21" s="51" t="s">
        <v>64</v>
      </c>
      <c r="B21" s="125">
        <v>2.8</v>
      </c>
      <c r="C21" s="134"/>
      <c r="D21" s="134"/>
      <c r="E21" s="124">
        <v>0</v>
      </c>
      <c r="F21" s="124">
        <v>0</v>
      </c>
      <c r="G21" s="119">
        <v>0</v>
      </c>
      <c r="H21" s="119">
        <v>0</v>
      </c>
      <c r="I21" s="55">
        <f t="shared" ref="I21:J23" si="2">G21+E21+C21</f>
        <v>0</v>
      </c>
      <c r="J21" s="56">
        <f t="shared" si="2"/>
        <v>0</v>
      </c>
    </row>
    <row r="22" spans="1:11" x14ac:dyDescent="0.25">
      <c r="A22" s="51" t="s">
        <v>32</v>
      </c>
      <c r="B22" s="125">
        <v>2.8</v>
      </c>
      <c r="C22" s="134"/>
      <c r="D22" s="134"/>
      <c r="E22" s="124">
        <v>0</v>
      </c>
      <c r="F22" s="124">
        <v>0</v>
      </c>
      <c r="G22" s="119">
        <v>0</v>
      </c>
      <c r="H22" s="119">
        <v>0</v>
      </c>
      <c r="I22" s="55">
        <f t="shared" si="2"/>
        <v>0</v>
      </c>
      <c r="J22" s="56">
        <f t="shared" si="2"/>
        <v>0</v>
      </c>
    </row>
    <row r="23" spans="1:11" ht="15.75" customHeight="1" x14ac:dyDescent="0.25">
      <c r="A23" s="51" t="s">
        <v>33</v>
      </c>
      <c r="B23" s="125">
        <v>2.8</v>
      </c>
      <c r="C23" s="134"/>
      <c r="D23" s="134"/>
      <c r="E23" s="124">
        <v>0</v>
      </c>
      <c r="F23" s="124">
        <v>0</v>
      </c>
      <c r="G23" s="119">
        <v>0</v>
      </c>
      <c r="H23" s="119">
        <v>0</v>
      </c>
      <c r="I23" s="55">
        <f t="shared" si="2"/>
        <v>0</v>
      </c>
      <c r="J23" s="56">
        <f t="shared" si="2"/>
        <v>0</v>
      </c>
    </row>
    <row r="24" spans="1:11" ht="15.75" thickBot="1" x14ac:dyDescent="0.3">
      <c r="A24" s="131"/>
      <c r="B24" s="123"/>
      <c r="C24" s="123"/>
      <c r="D24" s="123"/>
      <c r="E24" s="123"/>
      <c r="F24" s="121"/>
      <c r="G24" s="121"/>
      <c r="H24" s="121"/>
      <c r="I24" s="132"/>
      <c r="J24" s="133"/>
      <c r="K24" s="11"/>
    </row>
    <row r="25" spans="1:11" ht="15.75" thickBot="1" x14ac:dyDescent="0.3">
      <c r="A25" s="127"/>
      <c r="B25" s="128"/>
      <c r="C25" s="128"/>
      <c r="D25" s="128"/>
      <c r="E25" s="128"/>
      <c r="F25" s="129"/>
      <c r="G25" s="129"/>
      <c r="H25" s="129"/>
      <c r="I25" s="130"/>
      <c r="J25" s="130"/>
      <c r="K25" s="11"/>
    </row>
    <row r="26" spans="1:11" x14ac:dyDescent="0.25">
      <c r="A26" s="174" t="s">
        <v>55</v>
      </c>
      <c r="B26" s="175"/>
      <c r="C26" s="180">
        <f t="shared" ref="C26:J26" si="3">SUM(C5:C19)</f>
        <v>3148.3893870000002</v>
      </c>
      <c r="D26" s="178">
        <f t="shared" si="3"/>
        <v>33888.948522729297</v>
      </c>
      <c r="E26" s="180">
        <f t="shared" si="3"/>
        <v>24946.502131999994</v>
      </c>
      <c r="F26" s="178">
        <f t="shared" si="3"/>
        <v>268521.65429863479</v>
      </c>
      <c r="G26" s="180">
        <f t="shared" si="3"/>
        <v>6320.45021</v>
      </c>
      <c r="H26" s="178">
        <f t="shared" si="3"/>
        <v>68032.694015418994</v>
      </c>
      <c r="I26" s="178">
        <f t="shared" si="3"/>
        <v>41650.399999999994</v>
      </c>
      <c r="J26" s="203">
        <f t="shared" si="3"/>
        <v>370443.29683678312</v>
      </c>
      <c r="K26" s="11"/>
    </row>
    <row r="27" spans="1:11" ht="15.75" thickBot="1" x14ac:dyDescent="0.3">
      <c r="A27" s="176"/>
      <c r="B27" s="177"/>
      <c r="C27" s="181"/>
      <c r="D27" s="179"/>
      <c r="E27" s="181"/>
      <c r="F27" s="179"/>
      <c r="G27" s="181"/>
      <c r="H27" s="179"/>
      <c r="I27" s="179"/>
      <c r="J27" s="204"/>
      <c r="K27" s="11"/>
    </row>
    <row r="28" spans="1:11" x14ac:dyDescent="0.25">
      <c r="A28" s="127"/>
      <c r="B28" s="128"/>
      <c r="C28" s="128"/>
      <c r="D28" s="128"/>
      <c r="E28" s="128"/>
      <c r="F28" s="129"/>
      <c r="G28" s="129"/>
      <c r="H28" s="129"/>
      <c r="I28" s="130"/>
      <c r="J28" s="130"/>
      <c r="K28" s="11"/>
    </row>
    <row r="29" spans="1:11" ht="15.75" thickBot="1" x14ac:dyDescent="0.3">
      <c r="K29" s="11"/>
    </row>
    <row r="30" spans="1:11" ht="29.25" customHeight="1" thickBot="1" x14ac:dyDescent="0.3">
      <c r="A30" s="163" t="s">
        <v>28</v>
      </c>
      <c r="B30" s="164"/>
      <c r="C30" s="164"/>
      <c r="D30" s="164"/>
      <c r="E30" s="164"/>
      <c r="F30" s="164"/>
      <c r="G30" s="164"/>
      <c r="H30" s="165"/>
      <c r="I30" s="57">
        <f>SUM(I5:I19)</f>
        <v>41650.399999999994</v>
      </c>
      <c r="J30" s="57">
        <f>SUM(J5:J13)</f>
        <v>154070.9256664858</v>
      </c>
    </row>
    <row r="31" spans="1:11" x14ac:dyDescent="0.25">
      <c r="A31" s="158"/>
      <c r="B31" s="158"/>
      <c r="C31" s="158"/>
      <c r="D31" s="158"/>
      <c r="E31" s="135"/>
      <c r="F31" s="158"/>
      <c r="G31" s="158"/>
      <c r="H31" s="158"/>
      <c r="I31" s="158"/>
      <c r="J31" s="158"/>
    </row>
    <row r="32" spans="1:11" x14ac:dyDescent="0.25">
      <c r="A32" s="158"/>
      <c r="B32" s="158"/>
      <c r="C32" s="158"/>
      <c r="D32" s="158"/>
      <c r="E32" s="135"/>
      <c r="F32" s="158"/>
      <c r="G32" s="158"/>
      <c r="H32" s="158"/>
      <c r="I32" s="158"/>
      <c r="J32" s="158"/>
    </row>
    <row r="33" spans="1:11" x14ac:dyDescent="0.25">
      <c r="D33" s="158"/>
      <c r="E33" s="158"/>
      <c r="F33" s="158"/>
      <c r="G33" s="158"/>
      <c r="H33" s="158"/>
      <c r="I33" s="135"/>
      <c r="J33" s="9"/>
    </row>
    <row r="34" spans="1:11" ht="15" customHeight="1" x14ac:dyDescent="0.25">
      <c r="F34" s="189"/>
      <c r="G34" s="189"/>
      <c r="H34" s="189"/>
      <c r="I34" s="136"/>
      <c r="J34" s="10"/>
    </row>
    <row r="35" spans="1:11" x14ac:dyDescent="0.25">
      <c r="K35" t="s">
        <v>23</v>
      </c>
    </row>
    <row r="36" spans="1:11" ht="15" hidden="1" customHeight="1" x14ac:dyDescent="0.25"/>
    <row r="37" spans="1:11" ht="15" hidden="1" customHeight="1" x14ac:dyDescent="0.25">
      <c r="A37" t="s">
        <v>11</v>
      </c>
      <c r="D37">
        <v>1000000</v>
      </c>
    </row>
    <row r="38" spans="1:11" ht="15" hidden="1" customHeight="1" x14ac:dyDescent="0.25">
      <c r="A38" t="s">
        <v>12</v>
      </c>
      <c r="D38">
        <v>10.763999999999999</v>
      </c>
    </row>
    <row r="39" spans="1:11" ht="15" hidden="1" customHeight="1" x14ac:dyDescent="0.25"/>
    <row r="42" spans="1:11" x14ac:dyDescent="0.25">
      <c r="E42" t="s">
        <v>54</v>
      </c>
    </row>
    <row r="48" spans="1:11" x14ac:dyDescent="0.25">
      <c r="F48" s="11"/>
      <c r="G48" s="11"/>
      <c r="H48" s="11"/>
      <c r="I48" s="11"/>
      <c r="J48" s="11"/>
    </row>
    <row r="54" spans="1:16" ht="15.75" thickBot="1" x14ac:dyDescent="0.3">
      <c r="A54" s="58"/>
      <c r="B54" s="59" t="s">
        <v>29</v>
      </c>
      <c r="C54" s="60" t="s">
        <v>30</v>
      </c>
      <c r="D54" s="61"/>
      <c r="E54" s="61"/>
      <c r="F54" s="61"/>
      <c r="G54" s="61"/>
      <c r="H54" s="201"/>
      <c r="I54" s="202"/>
      <c r="J54" s="201"/>
      <c r="K54" s="202"/>
      <c r="L54" s="62" t="s">
        <v>29</v>
      </c>
      <c r="M54" s="63" t="s">
        <v>30</v>
      </c>
    </row>
    <row r="55" spans="1:16" x14ac:dyDescent="0.25">
      <c r="A55" s="64" t="s">
        <v>4</v>
      </c>
      <c r="B55" s="65">
        <v>940</v>
      </c>
      <c r="C55" s="65">
        <v>10130</v>
      </c>
      <c r="D55" s="66"/>
      <c r="E55" s="66"/>
      <c r="F55" s="66"/>
      <c r="G55" s="66"/>
      <c r="H55" s="66">
        <v>90</v>
      </c>
      <c r="I55" s="67"/>
      <c r="J55" s="68"/>
      <c r="K55" s="68"/>
      <c r="L55" s="69">
        <v>2545</v>
      </c>
      <c r="M55" s="70">
        <v>27395</v>
      </c>
    </row>
    <row r="56" spans="1:16" x14ac:dyDescent="0.25">
      <c r="A56" s="64" t="s">
        <v>31</v>
      </c>
      <c r="B56" s="69">
        <v>0</v>
      </c>
      <c r="C56" s="69">
        <v>0</v>
      </c>
      <c r="D56" s="66"/>
      <c r="E56" s="66"/>
      <c r="F56" s="66"/>
      <c r="G56" s="66"/>
      <c r="H56" s="66">
        <v>84</v>
      </c>
      <c r="I56" s="67"/>
      <c r="J56" s="68"/>
      <c r="K56" s="68"/>
      <c r="L56" s="69">
        <v>3803</v>
      </c>
      <c r="M56" s="70">
        <v>40935</v>
      </c>
    </row>
    <row r="57" spans="1:16" x14ac:dyDescent="0.25">
      <c r="A57" s="64" t="s">
        <v>32</v>
      </c>
      <c r="B57" s="69">
        <v>0</v>
      </c>
      <c r="C57" s="69">
        <v>0</v>
      </c>
      <c r="D57" s="66"/>
      <c r="E57" s="66"/>
      <c r="F57" s="66"/>
      <c r="G57" s="66"/>
      <c r="H57" s="66">
        <v>99</v>
      </c>
      <c r="I57" s="67"/>
      <c r="J57" s="68"/>
      <c r="K57" s="68"/>
      <c r="L57" s="69">
        <v>3803</v>
      </c>
      <c r="M57" s="70">
        <v>40935</v>
      </c>
    </row>
    <row r="58" spans="1:16" x14ac:dyDescent="0.25">
      <c r="A58" s="64" t="s">
        <v>33</v>
      </c>
      <c r="B58" s="69">
        <v>0</v>
      </c>
      <c r="C58" s="69">
        <v>0</v>
      </c>
      <c r="D58" s="66"/>
      <c r="E58" s="66"/>
      <c r="F58" s="66"/>
      <c r="G58" s="66"/>
      <c r="H58" s="66">
        <v>103</v>
      </c>
      <c r="I58" s="67"/>
      <c r="J58" s="68"/>
      <c r="K58" s="68"/>
      <c r="L58" s="69">
        <v>3803</v>
      </c>
      <c r="M58" s="70">
        <v>40935</v>
      </c>
    </row>
    <row r="59" spans="1:16" ht="15.75" thickBot="1" x14ac:dyDescent="0.3">
      <c r="A59" s="71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</row>
    <row r="60" spans="1:16" ht="30.75" thickBot="1" x14ac:dyDescent="0.3">
      <c r="A60" s="73" t="s">
        <v>34</v>
      </c>
      <c r="B60" s="74">
        <f>SUM(B55)</f>
        <v>940</v>
      </c>
      <c r="C60" s="75">
        <f>SUM(C55)</f>
        <v>10130</v>
      </c>
      <c r="D60" s="76"/>
      <c r="E60" s="76"/>
      <c r="F60" s="76"/>
      <c r="G60" s="76"/>
      <c r="H60" s="76">
        <f>SUM(H55:H58)</f>
        <v>376</v>
      </c>
      <c r="I60" s="77"/>
      <c r="J60" s="76"/>
      <c r="K60" s="76"/>
      <c r="L60" s="78">
        <f>SUM(L55:L58)</f>
        <v>13954</v>
      </c>
      <c r="M60" s="79">
        <f>SUM(M55:M58)</f>
        <v>150200</v>
      </c>
    </row>
    <row r="61" spans="1:16" x14ac:dyDescent="0.25">
      <c r="A61" s="80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</row>
    <row r="62" spans="1:16" ht="15.75" thickBot="1" x14ac:dyDescent="0.3">
      <c r="A62" s="82" t="s">
        <v>35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4"/>
      <c r="O62" s="84"/>
      <c r="P62" s="83"/>
    </row>
    <row r="63" spans="1:16" x14ac:dyDescent="0.25">
      <c r="A63" s="85" t="s">
        <v>0</v>
      </c>
      <c r="B63" s="196" t="s">
        <v>20</v>
      </c>
      <c r="C63" s="197"/>
      <c r="D63" s="86" t="s">
        <v>18</v>
      </c>
      <c r="E63" s="137"/>
      <c r="F63" s="86" t="s">
        <v>36</v>
      </c>
      <c r="G63" s="137"/>
      <c r="H63" s="198" t="s">
        <v>37</v>
      </c>
      <c r="I63" s="199"/>
      <c r="J63" s="198" t="s">
        <v>38</v>
      </c>
      <c r="K63" s="199"/>
      <c r="L63" s="200" t="s">
        <v>39</v>
      </c>
      <c r="M63" s="199"/>
      <c r="N63" s="200" t="s">
        <v>40</v>
      </c>
      <c r="O63" s="199"/>
      <c r="P63" s="87" t="s">
        <v>41</v>
      </c>
    </row>
    <row r="64" spans="1:16" ht="15.75" thickBot="1" x14ac:dyDescent="0.3">
      <c r="A64" s="88"/>
      <c r="B64" s="62" t="s">
        <v>29</v>
      </c>
      <c r="C64" s="60" t="s">
        <v>30</v>
      </c>
      <c r="D64" s="89" t="s">
        <v>29</v>
      </c>
      <c r="E64" s="60" t="s">
        <v>30</v>
      </c>
      <c r="F64" s="89" t="s">
        <v>29</v>
      </c>
      <c r="G64" s="60" t="s">
        <v>30</v>
      </c>
      <c r="H64" s="89" t="s">
        <v>29</v>
      </c>
      <c r="I64" s="60" t="s">
        <v>30</v>
      </c>
      <c r="J64" s="89" t="s">
        <v>29</v>
      </c>
      <c r="K64" s="60" t="s">
        <v>30</v>
      </c>
      <c r="L64" s="62" t="s">
        <v>29</v>
      </c>
      <c r="M64" s="60" t="s">
        <v>30</v>
      </c>
      <c r="N64" s="62" t="s">
        <v>29</v>
      </c>
      <c r="O64" s="60" t="s">
        <v>30</v>
      </c>
      <c r="P64" s="90"/>
    </row>
    <row r="65" spans="1:16" x14ac:dyDescent="0.25">
      <c r="A65" s="64" t="s">
        <v>42</v>
      </c>
      <c r="B65" s="91">
        <f>(198)</f>
        <v>198</v>
      </c>
      <c r="C65" s="91">
        <v>2131</v>
      </c>
      <c r="D65" s="92">
        <v>1305</v>
      </c>
      <c r="E65" s="92">
        <v>14046</v>
      </c>
      <c r="F65" s="93">
        <v>3493</v>
      </c>
      <c r="G65" s="93">
        <v>37595</v>
      </c>
      <c r="H65" s="91">
        <v>0</v>
      </c>
      <c r="I65" s="94">
        <v>0</v>
      </c>
      <c r="J65" s="92">
        <v>0</v>
      </c>
      <c r="K65" s="95">
        <v>0</v>
      </c>
      <c r="L65" s="69"/>
      <c r="M65" s="96"/>
      <c r="N65" s="69">
        <f>SUM(B65,F65,D65)</f>
        <v>4996</v>
      </c>
      <c r="O65" s="68">
        <f>SUM(C65,E65,G65)</f>
        <v>53772</v>
      </c>
      <c r="P65" s="97">
        <v>0</v>
      </c>
    </row>
    <row r="66" spans="1:16" x14ac:dyDescent="0.25">
      <c r="A66" s="64" t="s">
        <v>43</v>
      </c>
      <c r="B66" s="91">
        <v>799</v>
      </c>
      <c r="C66" s="91">
        <v>8600</v>
      </c>
      <c r="D66" s="92">
        <f>(2411)</f>
        <v>2411</v>
      </c>
      <c r="E66" s="92">
        <f>(25951)</f>
        <v>25951</v>
      </c>
      <c r="F66" s="69">
        <v>0</v>
      </c>
      <c r="G66" s="69">
        <v>0</v>
      </c>
      <c r="H66" s="98">
        <v>32.92</v>
      </c>
      <c r="I66" s="94">
        <v>354</v>
      </c>
      <c r="J66" s="92">
        <v>303.27999999999997</v>
      </c>
      <c r="K66" s="95">
        <v>3264</v>
      </c>
      <c r="L66" s="65">
        <v>234</v>
      </c>
      <c r="M66" s="99">
        <v>2515</v>
      </c>
      <c r="N66" s="69">
        <f>SUM(D66,J66,L66,H66,B66)</f>
        <v>3780.2</v>
      </c>
      <c r="O66" s="68">
        <f>SUM(E66,K66,M66)</f>
        <v>31730</v>
      </c>
      <c r="P66" s="97">
        <v>36</v>
      </c>
    </row>
    <row r="67" spans="1:16" x14ac:dyDescent="0.25">
      <c r="A67" s="64" t="s">
        <v>44</v>
      </c>
      <c r="B67" s="91">
        <v>799</v>
      </c>
      <c r="C67" s="91">
        <v>8600</v>
      </c>
      <c r="D67" s="92">
        <f>(2645)</f>
        <v>2645</v>
      </c>
      <c r="E67" s="92">
        <f>(28470)</f>
        <v>28470</v>
      </c>
      <c r="F67" s="69">
        <v>0</v>
      </c>
      <c r="G67" s="69">
        <v>0</v>
      </c>
      <c r="H67" s="98">
        <v>32.92</v>
      </c>
      <c r="I67" s="94">
        <v>354</v>
      </c>
      <c r="J67" s="92">
        <v>212</v>
      </c>
      <c r="K67" s="95">
        <v>2281</v>
      </c>
      <c r="L67" s="69"/>
      <c r="M67" s="96"/>
      <c r="N67" s="69">
        <f>SUM(B67,H67,D67,J67)</f>
        <v>3688.92</v>
      </c>
      <c r="O67" s="68">
        <f>SUM(C67,I67,E67,K67)</f>
        <v>39705</v>
      </c>
      <c r="P67" s="97">
        <v>38</v>
      </c>
    </row>
    <row r="68" spans="1:16" x14ac:dyDescent="0.25">
      <c r="A68" s="64" t="s">
        <v>45</v>
      </c>
      <c r="B68" s="91">
        <v>799</v>
      </c>
      <c r="C68" s="91">
        <v>8600</v>
      </c>
      <c r="D68" s="92">
        <f>(2645)</f>
        <v>2645</v>
      </c>
      <c r="E68" s="92">
        <f>(28470)</f>
        <v>28470</v>
      </c>
      <c r="F68" s="69">
        <v>0</v>
      </c>
      <c r="G68" s="69">
        <v>0</v>
      </c>
      <c r="H68" s="98">
        <v>32.92</v>
      </c>
      <c r="I68" s="94">
        <v>354</v>
      </c>
      <c r="J68" s="92">
        <v>303</v>
      </c>
      <c r="K68" s="95">
        <v>3264</v>
      </c>
      <c r="L68" s="69"/>
      <c r="M68" s="96"/>
      <c r="N68" s="69">
        <f>SUM(B68,H68,D68,J68)</f>
        <v>3779.92</v>
      </c>
      <c r="O68" s="68">
        <f t="shared" ref="O68:O77" si="4">SUM(C68,I68,E68,K68)</f>
        <v>40688</v>
      </c>
      <c r="P68" s="97">
        <v>38</v>
      </c>
    </row>
    <row r="69" spans="1:16" x14ac:dyDescent="0.25">
      <c r="A69" s="64" t="s">
        <v>46</v>
      </c>
      <c r="B69" s="91">
        <v>799</v>
      </c>
      <c r="C69" s="91">
        <v>8600</v>
      </c>
      <c r="D69" s="92">
        <f>(2645)</f>
        <v>2645</v>
      </c>
      <c r="E69" s="92">
        <f>(28470)</f>
        <v>28470</v>
      </c>
      <c r="F69" s="69">
        <v>0</v>
      </c>
      <c r="G69" s="69">
        <v>0</v>
      </c>
      <c r="H69" s="98">
        <v>32.92</v>
      </c>
      <c r="I69" s="94">
        <v>354</v>
      </c>
      <c r="J69" s="92">
        <v>212</v>
      </c>
      <c r="K69" s="95">
        <v>2281</v>
      </c>
      <c r="L69" s="69"/>
      <c r="M69" s="96"/>
      <c r="N69" s="69">
        <f>SUM(B69,H69,D69,J69)</f>
        <v>3688.92</v>
      </c>
      <c r="O69" s="68">
        <f t="shared" si="4"/>
        <v>39705</v>
      </c>
      <c r="P69" s="97">
        <v>38</v>
      </c>
    </row>
    <row r="70" spans="1:16" x14ac:dyDescent="0.25">
      <c r="A70" s="64" t="s">
        <v>47</v>
      </c>
      <c r="B70" s="91">
        <v>799</v>
      </c>
      <c r="C70" s="91">
        <v>8600</v>
      </c>
      <c r="D70" s="92">
        <f>(2645)</f>
        <v>2645</v>
      </c>
      <c r="E70" s="92">
        <f>(28470)</f>
        <v>28470</v>
      </c>
      <c r="F70" s="69">
        <v>0</v>
      </c>
      <c r="G70" s="69">
        <v>0</v>
      </c>
      <c r="H70" s="98">
        <v>32.92</v>
      </c>
      <c r="I70" s="94">
        <v>354</v>
      </c>
      <c r="J70" s="92">
        <v>303</v>
      </c>
      <c r="K70" s="95">
        <v>3264</v>
      </c>
      <c r="L70" s="69"/>
      <c r="M70" s="96"/>
      <c r="N70" s="69">
        <f t="shared" ref="N70:N77" si="5">SUM(B70,H70,D70,J70)</f>
        <v>3779.92</v>
      </c>
      <c r="O70" s="68">
        <f t="shared" si="4"/>
        <v>40688</v>
      </c>
      <c r="P70" s="97">
        <v>38</v>
      </c>
    </row>
    <row r="71" spans="1:16" x14ac:dyDescent="0.25">
      <c r="A71" s="64" t="s">
        <v>48</v>
      </c>
      <c r="B71" s="91">
        <v>799</v>
      </c>
      <c r="C71" s="91">
        <v>8600</v>
      </c>
      <c r="D71" s="92">
        <v>1715</v>
      </c>
      <c r="E71" s="92">
        <f>(18460)</f>
        <v>18460</v>
      </c>
      <c r="F71" s="69">
        <v>0</v>
      </c>
      <c r="G71" s="69">
        <v>0</v>
      </c>
      <c r="H71" s="98">
        <v>32.92</v>
      </c>
      <c r="I71" s="94">
        <v>354</v>
      </c>
      <c r="J71" s="92">
        <v>208</v>
      </c>
      <c r="K71" s="95">
        <v>2238</v>
      </c>
      <c r="L71" s="69"/>
      <c r="M71" s="96"/>
      <c r="N71" s="69">
        <f t="shared" si="5"/>
        <v>2754.92</v>
      </c>
      <c r="O71" s="68">
        <f t="shared" si="4"/>
        <v>29652</v>
      </c>
      <c r="P71" s="97">
        <v>27</v>
      </c>
    </row>
    <row r="72" spans="1:16" x14ac:dyDescent="0.25">
      <c r="A72" s="64" t="s">
        <v>49</v>
      </c>
      <c r="B72" s="91">
        <v>799</v>
      </c>
      <c r="C72" s="91">
        <v>8600</v>
      </c>
      <c r="D72" s="92">
        <v>1715</v>
      </c>
      <c r="E72" s="92">
        <f>(18460)</f>
        <v>18460</v>
      </c>
      <c r="F72" s="69">
        <v>0</v>
      </c>
      <c r="G72" s="69">
        <v>0</v>
      </c>
      <c r="H72" s="98">
        <v>32.92</v>
      </c>
      <c r="I72" s="94">
        <v>354</v>
      </c>
      <c r="J72" s="92">
        <v>145</v>
      </c>
      <c r="K72" s="95">
        <v>1567</v>
      </c>
      <c r="L72" s="69"/>
      <c r="M72" s="96"/>
      <c r="N72" s="69">
        <f t="shared" si="5"/>
        <v>2691.92</v>
      </c>
      <c r="O72" s="68">
        <f t="shared" si="4"/>
        <v>28981</v>
      </c>
      <c r="P72" s="97">
        <v>28</v>
      </c>
    </row>
    <row r="73" spans="1:16" x14ac:dyDescent="0.25">
      <c r="A73" s="64" t="s">
        <v>50</v>
      </c>
      <c r="B73" s="91">
        <v>799</v>
      </c>
      <c r="C73" s="91">
        <v>8600</v>
      </c>
      <c r="D73" s="92">
        <v>1715</v>
      </c>
      <c r="E73" s="92">
        <f>(18460)</f>
        <v>18460</v>
      </c>
      <c r="F73" s="69">
        <v>0</v>
      </c>
      <c r="G73" s="69">
        <v>0</v>
      </c>
      <c r="H73" s="98">
        <v>32.92</v>
      </c>
      <c r="I73" s="94">
        <v>354</v>
      </c>
      <c r="J73" s="92">
        <v>208</v>
      </c>
      <c r="K73" s="95">
        <v>2238</v>
      </c>
      <c r="L73" s="69"/>
      <c r="M73" s="96"/>
      <c r="N73" s="69">
        <f t="shared" si="5"/>
        <v>2754.92</v>
      </c>
      <c r="O73" s="68">
        <f t="shared" si="4"/>
        <v>29652</v>
      </c>
      <c r="P73" s="97">
        <v>28</v>
      </c>
    </row>
    <row r="74" spans="1:16" x14ac:dyDescent="0.25">
      <c r="A74" s="64" t="s">
        <v>13</v>
      </c>
      <c r="B74" s="91">
        <v>0</v>
      </c>
      <c r="C74" s="91">
        <v>0</v>
      </c>
      <c r="D74" s="92">
        <f>(2523)</f>
        <v>2523</v>
      </c>
      <c r="E74" s="92">
        <f>(27157)</f>
        <v>27157</v>
      </c>
      <c r="F74" s="69">
        <v>0</v>
      </c>
      <c r="G74" s="69">
        <v>0</v>
      </c>
      <c r="H74" s="91">
        <v>0</v>
      </c>
      <c r="I74" s="94">
        <v>0</v>
      </c>
      <c r="J74" s="92">
        <v>135</v>
      </c>
      <c r="K74" s="95">
        <f>(1453)</f>
        <v>1453</v>
      </c>
      <c r="L74" s="69"/>
      <c r="M74" s="96"/>
      <c r="N74" s="69">
        <f t="shared" si="5"/>
        <v>2658</v>
      </c>
      <c r="O74" s="68">
        <f t="shared" si="4"/>
        <v>28610</v>
      </c>
      <c r="P74" s="97">
        <v>28</v>
      </c>
    </row>
    <row r="75" spans="1:16" x14ac:dyDescent="0.25">
      <c r="A75" s="64" t="s">
        <v>51</v>
      </c>
      <c r="B75" s="91">
        <v>0</v>
      </c>
      <c r="C75" s="91">
        <v>0</v>
      </c>
      <c r="D75" s="92">
        <f>(1603.5)</f>
        <v>1603.5</v>
      </c>
      <c r="E75" s="92">
        <f>(17259)</f>
        <v>17259</v>
      </c>
      <c r="F75" s="69">
        <v>0</v>
      </c>
      <c r="G75" s="69">
        <v>0</v>
      </c>
      <c r="H75" s="91">
        <v>0</v>
      </c>
      <c r="I75" s="94">
        <v>0</v>
      </c>
      <c r="J75" s="92">
        <v>183</v>
      </c>
      <c r="K75" s="95">
        <v>1969</v>
      </c>
      <c r="L75" s="69"/>
      <c r="M75" s="96"/>
      <c r="N75" s="69">
        <f t="shared" si="5"/>
        <v>1786.5</v>
      </c>
      <c r="O75" s="68">
        <f t="shared" si="4"/>
        <v>19228</v>
      </c>
      <c r="P75" s="97">
        <v>12</v>
      </c>
    </row>
    <row r="76" spans="1:16" x14ac:dyDescent="0.25">
      <c r="A76" s="64" t="s">
        <v>52</v>
      </c>
      <c r="B76" s="91">
        <v>0</v>
      </c>
      <c r="C76" s="91">
        <v>0</v>
      </c>
      <c r="D76" s="92">
        <f t="shared" ref="D76:D77" si="6">(1603.5)</f>
        <v>1603.5</v>
      </c>
      <c r="E76" s="92">
        <f>(17259)</f>
        <v>17259</v>
      </c>
      <c r="F76" s="69">
        <v>0</v>
      </c>
      <c r="G76" s="69">
        <v>0</v>
      </c>
      <c r="H76" s="91">
        <v>0</v>
      </c>
      <c r="I76" s="94">
        <v>0</v>
      </c>
      <c r="J76" s="92">
        <v>128</v>
      </c>
      <c r="K76" s="95">
        <v>1378</v>
      </c>
      <c r="L76" s="100"/>
      <c r="M76" s="101"/>
      <c r="N76" s="69">
        <f t="shared" si="5"/>
        <v>1731.5</v>
      </c>
      <c r="O76" s="68">
        <f t="shared" si="4"/>
        <v>18637</v>
      </c>
      <c r="P76" s="97">
        <v>12</v>
      </c>
    </row>
    <row r="77" spans="1:16" x14ac:dyDescent="0.25">
      <c r="A77" s="64" t="s">
        <v>2</v>
      </c>
      <c r="B77" s="91">
        <v>0</v>
      </c>
      <c r="C77" s="91">
        <v>0</v>
      </c>
      <c r="D77" s="92">
        <f t="shared" si="6"/>
        <v>1603.5</v>
      </c>
      <c r="E77" s="92">
        <f>(17259)</f>
        <v>17259</v>
      </c>
      <c r="F77" s="69">
        <v>0</v>
      </c>
      <c r="G77" s="69">
        <v>0</v>
      </c>
      <c r="H77" s="91">
        <v>0</v>
      </c>
      <c r="I77" s="94">
        <v>0</v>
      </c>
      <c r="J77" s="92">
        <v>183</v>
      </c>
      <c r="K77" s="95">
        <v>1969</v>
      </c>
      <c r="L77" s="100"/>
      <c r="M77" s="101"/>
      <c r="N77" s="69">
        <f t="shared" si="5"/>
        <v>1786.5</v>
      </c>
      <c r="O77" s="68">
        <f t="shared" si="4"/>
        <v>19228</v>
      </c>
      <c r="P77" s="97">
        <v>12</v>
      </c>
    </row>
    <row r="78" spans="1:16" ht="15.75" thickBot="1" x14ac:dyDescent="0.3">
      <c r="A78" s="102" t="s">
        <v>24</v>
      </c>
      <c r="B78" s="91">
        <v>0</v>
      </c>
      <c r="C78" s="103">
        <v>0</v>
      </c>
      <c r="D78" s="92">
        <v>238</v>
      </c>
      <c r="E78" s="92">
        <v>2561</v>
      </c>
      <c r="F78" s="69">
        <v>0</v>
      </c>
      <c r="G78" s="69">
        <v>0</v>
      </c>
      <c r="H78" s="91">
        <v>0</v>
      </c>
      <c r="I78" s="94">
        <v>0</v>
      </c>
      <c r="J78" s="92">
        <v>14</v>
      </c>
      <c r="K78" s="95">
        <v>150</v>
      </c>
      <c r="L78" s="104">
        <v>160</v>
      </c>
      <c r="M78" s="105">
        <v>1720</v>
      </c>
      <c r="N78" s="69">
        <f>SUM(B78,L78,H78,D78,J78)</f>
        <v>412</v>
      </c>
      <c r="O78" s="68">
        <f>SUM(C78,I78,E78,K78,M78)</f>
        <v>4431</v>
      </c>
      <c r="P78" s="97">
        <v>0</v>
      </c>
    </row>
    <row r="79" spans="1:16" ht="15.75" thickBot="1" x14ac:dyDescent="0.3">
      <c r="A79" s="106"/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</row>
    <row r="80" spans="1:16" ht="30.75" thickBot="1" x14ac:dyDescent="0.3">
      <c r="A80" s="73" t="s">
        <v>53</v>
      </c>
      <c r="B80" s="108">
        <f t="shared" ref="B80:P80" si="7">SUM(B65:B78)</f>
        <v>6590</v>
      </c>
      <c r="C80" s="109">
        <f t="shared" si="7"/>
        <v>70931</v>
      </c>
      <c r="D80" s="110">
        <f t="shared" si="7"/>
        <v>27012.5</v>
      </c>
      <c r="E80" s="111">
        <f t="shared" si="7"/>
        <v>290752</v>
      </c>
      <c r="F80" s="112">
        <f t="shared" si="7"/>
        <v>3493</v>
      </c>
      <c r="G80" s="113">
        <f t="shared" si="7"/>
        <v>37595</v>
      </c>
      <c r="H80" s="114">
        <f t="shared" si="7"/>
        <v>263.36000000000007</v>
      </c>
      <c r="I80" s="109">
        <f t="shared" si="7"/>
        <v>2832</v>
      </c>
      <c r="J80" s="110">
        <f t="shared" si="7"/>
        <v>2537.2799999999997</v>
      </c>
      <c r="K80" s="111">
        <f t="shared" si="7"/>
        <v>27316</v>
      </c>
      <c r="L80" s="115">
        <f t="shared" si="7"/>
        <v>394</v>
      </c>
      <c r="M80" s="116">
        <f t="shared" si="7"/>
        <v>4235</v>
      </c>
      <c r="N80" s="117">
        <f t="shared" si="7"/>
        <v>40290.139999999992</v>
      </c>
      <c r="O80" s="76">
        <f t="shared" si="7"/>
        <v>424707</v>
      </c>
      <c r="P80" s="118">
        <f t="shared" si="7"/>
        <v>335</v>
      </c>
    </row>
  </sheetData>
  <mergeCells count="31">
    <mergeCell ref="A1:J1"/>
    <mergeCell ref="A3:A4"/>
    <mergeCell ref="B3:B4"/>
    <mergeCell ref="C3:D3"/>
    <mergeCell ref="E3:F3"/>
    <mergeCell ref="G3:H3"/>
    <mergeCell ref="I3:I4"/>
    <mergeCell ref="J3:J4"/>
    <mergeCell ref="H26:H27"/>
    <mergeCell ref="I26:I27"/>
    <mergeCell ref="J26:J27"/>
    <mergeCell ref="A30:H30"/>
    <mergeCell ref="A31:D31"/>
    <mergeCell ref="F31:J31"/>
    <mergeCell ref="A26:B27"/>
    <mergeCell ref="C26:C27"/>
    <mergeCell ref="D26:D27"/>
    <mergeCell ref="E26:E27"/>
    <mergeCell ref="F26:F27"/>
    <mergeCell ref="G26:G27"/>
    <mergeCell ref="A32:D32"/>
    <mergeCell ref="F32:J32"/>
    <mergeCell ref="D33:H33"/>
    <mergeCell ref="F34:H34"/>
    <mergeCell ref="H54:I54"/>
    <mergeCell ref="J54:K54"/>
    <mergeCell ref="B63:C63"/>
    <mergeCell ref="H63:I63"/>
    <mergeCell ref="J63:K63"/>
    <mergeCell ref="L63:M63"/>
    <mergeCell ref="N63:O63"/>
  </mergeCells>
  <printOptions horizontalCentered="1" verticalCentered="1"/>
  <pageMargins left="0.7" right="0.7" top="0.75" bottom="0.75" header="0.3" footer="0.3"/>
  <pageSetup scale="74" orientation="landscape" r:id="rId1"/>
  <colBreaks count="1" manualBreakCount="1">
    <brk id="14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TFA</vt:lpstr>
      <vt:lpstr>GFA</vt:lpstr>
      <vt:lpstr>AFFORDABLE</vt:lpstr>
      <vt:lpstr>CONDO</vt:lpstr>
      <vt:lpstr>TRASH REQUIREMENT</vt:lpstr>
      <vt:lpstr>ZONING ALLOWABLE</vt:lpstr>
      <vt:lpstr>AFFORDABLE!Print_Area</vt:lpstr>
      <vt:lpstr>CONDO!Print_Area</vt:lpstr>
      <vt:lpstr>GFA!Print_Area</vt:lpstr>
      <vt:lpstr>TFA!Print_Area</vt:lpstr>
      <vt:lpstr>'ZONING ALLOWABLE'!Print_Area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Ihnil Kim</dc:creator>
  <cp:lastModifiedBy>Alexander Briseño</cp:lastModifiedBy>
  <cp:lastPrinted>2014-07-16T14:53:09Z</cp:lastPrinted>
  <dcterms:created xsi:type="dcterms:W3CDTF">2013-10-03T14:47:47Z</dcterms:created>
  <dcterms:modified xsi:type="dcterms:W3CDTF">2014-08-04T19:53:52Z</dcterms:modified>
</cp:coreProperties>
</file>